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mc:AlternateContent xmlns:mc="http://schemas.openxmlformats.org/markup-compatibility/2006">
    <mc:Choice Requires="x15">
      <x15ac:absPath xmlns:x15ac="http://schemas.microsoft.com/office/spreadsheetml/2010/11/ac" url="https://jelsassersocialsecuritytimi-my.sharepoint.com/personal/joe_covisum_com/Documents/Desktop/"/>
    </mc:Choice>
  </mc:AlternateContent>
  <xr:revisionPtr revIDLastSave="0" documentId="8_{8A9DEEA5-6687-4F91-ACCF-8BBB0553B710}" xr6:coauthVersionLast="47" xr6:coauthVersionMax="47" xr10:uidLastSave="{00000000-0000-0000-0000-000000000000}"/>
  <bookViews>
    <workbookView xWindow="-120" yWindow="-120" windowWidth="29040" windowHeight="15720" xr2:uid="{D32D4D13-28FC-4E0C-8269-CEDEC59EF44C}"/>
  </bookViews>
  <sheets>
    <sheet name="RIB and Spousal Calculator" sheetId="2" r:id="rId1"/>
    <sheet name="Widow Calculator" sheetId="5" r:id="rId2"/>
    <sheet name="Basic Benefit Calculator" sheetId="7" r:id="rId3"/>
    <sheet name="Data Tables" sheetId="4"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7" i="2" l="1"/>
  <c r="F3" i="2"/>
  <c r="F11" i="2"/>
  <c r="I38" i="2"/>
  <c r="P15" i="7"/>
  <c r="P23" i="7" s="1"/>
  <c r="O80" i="7"/>
  <c r="O81" i="7"/>
  <c r="O83" i="7"/>
  <c r="O84" i="7"/>
  <c r="O90" i="7"/>
  <c r="O92" i="7"/>
  <c r="O93" i="7"/>
  <c r="O95" i="7"/>
  <c r="O96" i="7"/>
  <c r="O102" i="7"/>
  <c r="P29" i="7"/>
  <c r="P30" i="7"/>
  <c r="P31" i="7"/>
  <c r="P32" i="7"/>
  <c r="P33" i="7"/>
  <c r="P34" i="7"/>
  <c r="P35" i="7"/>
  <c r="P36" i="7"/>
  <c r="P37" i="7"/>
  <c r="P38" i="7"/>
  <c r="P39" i="7"/>
  <c r="P40" i="7"/>
  <c r="P41" i="7"/>
  <c r="P42" i="7"/>
  <c r="P43" i="7"/>
  <c r="P44" i="7"/>
  <c r="P45" i="7"/>
  <c r="P46" i="7"/>
  <c r="P47" i="7"/>
  <c r="P48" i="7"/>
  <c r="P49" i="7"/>
  <c r="P50" i="7"/>
  <c r="P51" i="7"/>
  <c r="P52" i="7"/>
  <c r="P53" i="7"/>
  <c r="P54" i="7"/>
  <c r="P55" i="7"/>
  <c r="P56" i="7"/>
  <c r="P57" i="7"/>
  <c r="P58" i="7"/>
  <c r="P59" i="7"/>
  <c r="P60" i="7"/>
  <c r="P61" i="7"/>
  <c r="P62" i="7"/>
  <c r="P63" i="7"/>
  <c r="P64" i="7"/>
  <c r="P65" i="7"/>
  <c r="P66" i="7"/>
  <c r="P67" i="7"/>
  <c r="P68" i="7"/>
  <c r="P69" i="7"/>
  <c r="P70" i="7"/>
  <c r="P71" i="7"/>
  <c r="P72" i="7"/>
  <c r="P73" i="7"/>
  <c r="P74" i="7"/>
  <c r="P75" i="7"/>
  <c r="P76" i="7"/>
  <c r="P77" i="7"/>
  <c r="P78" i="7"/>
  <c r="P79" i="7"/>
  <c r="P80" i="7"/>
  <c r="P81" i="7"/>
  <c r="P82" i="7"/>
  <c r="P83" i="7"/>
  <c r="P84" i="7"/>
  <c r="P85" i="7"/>
  <c r="P86" i="7"/>
  <c r="P87" i="7"/>
  <c r="P88" i="7"/>
  <c r="P89" i="7"/>
  <c r="P90" i="7"/>
  <c r="P91" i="7"/>
  <c r="P92" i="7"/>
  <c r="P93" i="7"/>
  <c r="P94" i="7"/>
  <c r="P95" i="7"/>
  <c r="P96" i="7"/>
  <c r="P97" i="7"/>
  <c r="P98" i="7"/>
  <c r="P99" i="7"/>
  <c r="P100" i="7"/>
  <c r="P101" i="7"/>
  <c r="P102" i="7"/>
  <c r="P28" i="7"/>
  <c r="P13" i="7"/>
  <c r="P9" i="7"/>
  <c r="P7" i="7"/>
  <c r="P5" i="7"/>
  <c r="P3" i="7"/>
  <c r="F3" i="5"/>
  <c r="O88" i="7" l="1"/>
  <c r="O99" i="7"/>
  <c r="O87" i="7"/>
  <c r="O98" i="7"/>
  <c r="O86" i="7"/>
  <c r="O100" i="7"/>
  <c r="O97" i="7"/>
  <c r="O85" i="7"/>
  <c r="O94" i="7"/>
  <c r="O82" i="7"/>
  <c r="O91" i="7"/>
  <c r="O101" i="7"/>
  <c r="O89" i="7"/>
  <c r="P16" i="7"/>
  <c r="P17" i="7" s="1"/>
  <c r="P18" i="7"/>
  <c r="P19" i="7" s="1"/>
  <c r="P24" i="7"/>
  <c r="P4" i="7"/>
  <c r="O64" i="7" s="1"/>
  <c r="O73" i="7" l="1"/>
  <c r="O51" i="7"/>
  <c r="O31" i="7"/>
  <c r="O75" i="7"/>
  <c r="O54" i="7"/>
  <c r="O33" i="7"/>
  <c r="O49" i="7"/>
  <c r="O42" i="7"/>
  <c r="O39" i="7"/>
  <c r="O34" i="7"/>
  <c r="O30" i="7"/>
  <c r="O40" i="7"/>
  <c r="O43" i="7"/>
  <c r="O41" i="7"/>
  <c r="O55" i="7"/>
  <c r="O53" i="7"/>
  <c r="O38" i="7"/>
  <c r="O52" i="7"/>
  <c r="O56" i="7"/>
  <c r="O32" i="7"/>
  <c r="O61" i="7"/>
  <c r="O66" i="7"/>
  <c r="O63" i="7"/>
  <c r="O58" i="7"/>
  <c r="O76" i="7"/>
  <c r="O67" i="7"/>
  <c r="O65" i="7"/>
  <c r="O79" i="7"/>
  <c r="O35" i="7"/>
  <c r="O50" i="7"/>
  <c r="O78" i="7"/>
  <c r="O71" i="7"/>
  <c r="O48" i="7"/>
  <c r="O68" i="7"/>
  <c r="O72" i="7"/>
  <c r="O45" i="7"/>
  <c r="O69" i="7"/>
  <c r="O59" i="7"/>
  <c r="O60" i="7"/>
  <c r="O57" i="7"/>
  <c r="O47" i="7"/>
  <c r="O62" i="7"/>
  <c r="O46" i="7"/>
  <c r="O29" i="7"/>
  <c r="O70" i="7"/>
  <c r="O77" i="7"/>
  <c r="O36" i="7"/>
  <c r="O44" i="7"/>
  <c r="O37" i="7"/>
  <c r="O74" i="7"/>
  <c r="O28" i="7"/>
  <c r="M29" i="7"/>
  <c r="M31" i="7"/>
  <c r="M32" i="7"/>
  <c r="M33" i="7"/>
  <c r="M69" i="7"/>
  <c r="M70" i="7"/>
  <c r="M71" i="7"/>
  <c r="M72" i="7"/>
  <c r="M73" i="7"/>
  <c r="M74" i="7"/>
  <c r="M75" i="7"/>
  <c r="M76" i="7"/>
  <c r="M77" i="7"/>
  <c r="M78" i="7"/>
  <c r="M79" i="7"/>
  <c r="M80" i="7"/>
  <c r="M81" i="7"/>
  <c r="M82" i="7"/>
  <c r="M83" i="7"/>
  <c r="M84" i="7"/>
  <c r="M85" i="7"/>
  <c r="M86" i="7"/>
  <c r="M87" i="7"/>
  <c r="M88" i="7"/>
  <c r="M89" i="7"/>
  <c r="M90" i="7"/>
  <c r="M91" i="7"/>
  <c r="M92" i="7"/>
  <c r="M93" i="7"/>
  <c r="M94" i="7"/>
  <c r="M95" i="7"/>
  <c r="M96" i="7"/>
  <c r="M97" i="7"/>
  <c r="M98" i="7"/>
  <c r="M99" i="7"/>
  <c r="M100" i="7"/>
  <c r="M101" i="7"/>
  <c r="M102" i="7"/>
  <c r="M3" i="7"/>
  <c r="M9" i="7"/>
  <c r="M7" i="7"/>
  <c r="M15" i="7"/>
  <c r="M23" i="7" s="1"/>
  <c r="M24" i="7" s="1"/>
  <c r="I15" i="2"/>
  <c r="I12" i="2"/>
  <c r="I12" i="5"/>
  <c r="I13" i="5" s="1"/>
  <c r="I14" i="5" s="1"/>
  <c r="I2" i="5"/>
  <c r="I3" i="5" s="1"/>
  <c r="I4" i="5" s="1"/>
  <c r="I13" i="2"/>
  <c r="I28" i="2"/>
  <c r="I31" i="2" s="1"/>
  <c r="C141" i="4"/>
  <c r="D141" i="4" s="1"/>
  <c r="C92" i="4"/>
  <c r="C93" i="4"/>
  <c r="C94" i="4"/>
  <c r="C95" i="4"/>
  <c r="C96" i="4"/>
  <c r="C97" i="4"/>
  <c r="C98" i="4"/>
  <c r="C99" i="4"/>
  <c r="C100" i="4"/>
  <c r="C101" i="4"/>
  <c r="C102" i="4"/>
  <c r="C103" i="4"/>
  <c r="C104" i="4"/>
  <c r="C105" i="4"/>
  <c r="C106" i="4"/>
  <c r="C107" i="4"/>
  <c r="C108" i="4"/>
  <c r="C109" i="4"/>
  <c r="C110" i="4"/>
  <c r="C111" i="4"/>
  <c r="C112" i="4"/>
  <c r="C113" i="4"/>
  <c r="C114" i="4"/>
  <c r="C115" i="4"/>
  <c r="C116" i="4"/>
  <c r="C117" i="4"/>
  <c r="C118" i="4"/>
  <c r="C119" i="4"/>
  <c r="C120" i="4"/>
  <c r="C121" i="4"/>
  <c r="C122" i="4"/>
  <c r="C123" i="4"/>
  <c r="C124" i="4"/>
  <c r="C125" i="4"/>
  <c r="C126" i="4"/>
  <c r="C127" i="4"/>
  <c r="C128" i="4"/>
  <c r="C129" i="4"/>
  <c r="C130" i="4"/>
  <c r="C131" i="4"/>
  <c r="C132" i="4"/>
  <c r="C133" i="4"/>
  <c r="C134" i="4"/>
  <c r="C135" i="4"/>
  <c r="C136" i="4"/>
  <c r="C137" i="4"/>
  <c r="C138" i="4"/>
  <c r="C139" i="4"/>
  <c r="C140" i="4"/>
  <c r="D140" i="4" s="1"/>
  <c r="C91" i="4"/>
  <c r="B36" i="4"/>
  <c r="C36" i="4" s="1"/>
  <c r="B34" i="4"/>
  <c r="C34" i="4" s="1"/>
  <c r="B32" i="4"/>
  <c r="C32" i="4" s="1"/>
  <c r="B29" i="4"/>
  <c r="C29" i="4" s="1"/>
  <c r="B37" i="4"/>
  <c r="C37" i="4" s="1"/>
  <c r="B35" i="4"/>
  <c r="C35" i="4" s="1"/>
  <c r="B33" i="4"/>
  <c r="C33" i="4" s="1"/>
  <c r="B31" i="4"/>
  <c r="C31" i="4" s="1"/>
  <c r="B30" i="4"/>
  <c r="C30" i="4" s="1"/>
  <c r="B28" i="4"/>
  <c r="C28" i="4" s="1"/>
  <c r="B27" i="4"/>
  <c r="C27" i="4" s="1"/>
  <c r="I3" i="2"/>
  <c r="I4" i="2" s="1"/>
  <c r="L93" i="7" l="1"/>
  <c r="L94" i="7"/>
  <c r="L95" i="7"/>
  <c r="L96" i="7"/>
  <c r="L97" i="7"/>
  <c r="L99" i="7"/>
  <c r="L101" i="7"/>
  <c r="L98" i="7"/>
  <c r="L100" i="7"/>
  <c r="L102" i="7"/>
  <c r="M4" i="7"/>
  <c r="L33" i="7" s="1"/>
  <c r="I36" i="2"/>
  <c r="I37" i="2" s="1"/>
  <c r="M18" i="7"/>
  <c r="M19" i="7" s="1"/>
  <c r="M16" i="7"/>
  <c r="M17" i="7" s="1"/>
  <c r="I5" i="5"/>
  <c r="I6" i="5" s="1"/>
  <c r="I7" i="5" s="1"/>
  <c r="I32" i="2"/>
  <c r="I25" i="2"/>
  <c r="I26" i="2" s="1"/>
  <c r="I5" i="2"/>
  <c r="I29" i="2"/>
  <c r="I30" i="2" s="1"/>
  <c r="D139" i="4"/>
  <c r="I6" i="2"/>
  <c r="I7" i="2" s="1"/>
  <c r="L82" i="7" l="1"/>
  <c r="L34" i="7"/>
  <c r="L36" i="7"/>
  <c r="L50" i="7"/>
  <c r="L38" i="7"/>
  <c r="L71" i="7"/>
  <c r="L88" i="7"/>
  <c r="L31" i="7"/>
  <c r="L64" i="7"/>
  <c r="L85" i="7"/>
  <c r="L47" i="7"/>
  <c r="L68" i="7"/>
  <c r="L60" i="7"/>
  <c r="M60" i="7" s="1"/>
  <c r="L65" i="7"/>
  <c r="L41" i="7"/>
  <c r="L90" i="7"/>
  <c r="L35" i="7"/>
  <c r="L77" i="7"/>
  <c r="L44" i="7"/>
  <c r="M44" i="7" s="1"/>
  <c r="L29" i="7"/>
  <c r="L76" i="7"/>
  <c r="L59" i="7"/>
  <c r="M59" i="7" s="1"/>
  <c r="L87" i="7"/>
  <c r="L51" i="7"/>
  <c r="M51" i="7" s="1"/>
  <c r="L78" i="7"/>
  <c r="L61" i="7"/>
  <c r="M61" i="7" s="1"/>
  <c r="L80" i="7"/>
  <c r="L81" i="7"/>
  <c r="L70" i="7"/>
  <c r="L28" i="7"/>
  <c r="L67" i="7"/>
  <c r="M67" i="7" s="1"/>
  <c r="L66" i="7"/>
  <c r="L75" i="7"/>
  <c r="L49" i="7"/>
  <c r="M49" i="7" s="1"/>
  <c r="L32" i="7"/>
  <c r="L69" i="7"/>
  <c r="L89" i="7"/>
  <c r="L83" i="7"/>
  <c r="L91" i="7"/>
  <c r="L56" i="7"/>
  <c r="L74" i="7"/>
  <c r="L54" i="7"/>
  <c r="L63" i="7"/>
  <c r="M63" i="7" s="1"/>
  <c r="L37" i="7"/>
  <c r="M37" i="7" s="1"/>
  <c r="L79" i="7"/>
  <c r="L57" i="7"/>
  <c r="M57" i="7" s="1"/>
  <c r="L62" i="7"/>
  <c r="M62" i="7" s="1"/>
  <c r="L92" i="7"/>
  <c r="L53" i="7"/>
  <c r="L73" i="7"/>
  <c r="L55" i="7"/>
  <c r="L84" i="7"/>
  <c r="L42" i="7"/>
  <c r="M42" i="7" s="1"/>
  <c r="L39" i="7"/>
  <c r="M39" i="7" s="1"/>
  <c r="L43" i="7"/>
  <c r="L45" i="7"/>
  <c r="M45" i="7" s="1"/>
  <c r="L58" i="7"/>
  <c r="M58" i="7" s="1"/>
  <c r="L46" i="7"/>
  <c r="M46" i="7" s="1"/>
  <c r="L52" i="7"/>
  <c r="M52" i="7" s="1"/>
  <c r="L40" i="7"/>
  <c r="L48" i="7"/>
  <c r="L30" i="7"/>
  <c r="L86" i="7"/>
  <c r="L72" i="7"/>
  <c r="M55" i="7"/>
  <c r="M30" i="7"/>
  <c r="M43" i="7"/>
  <c r="M50" i="7"/>
  <c r="M47" i="7"/>
  <c r="M64" i="7"/>
  <c r="M68" i="7"/>
  <c r="M36" i="7"/>
  <c r="M56" i="7"/>
  <c r="M48" i="7"/>
  <c r="M53" i="7"/>
  <c r="M54" i="7"/>
  <c r="M38" i="7"/>
  <c r="M65" i="7"/>
  <c r="M35" i="7"/>
  <c r="M34" i="7"/>
  <c r="M66" i="7"/>
  <c r="M41" i="7"/>
  <c r="M28" i="7"/>
  <c r="M40" i="7"/>
  <c r="I33" i="2"/>
  <c r="I39" i="2" s="1"/>
  <c r="I8" i="2"/>
  <c r="D138" i="4"/>
  <c r="F9" i="2" l="1"/>
  <c r="I34" i="2"/>
  <c r="D137" i="4"/>
  <c r="D86" i="4" s="1"/>
  <c r="D136" i="4" l="1"/>
  <c r="D85" i="4" l="1"/>
  <c r="I8" i="5"/>
  <c r="D135" i="4"/>
  <c r="D84" i="4" s="1"/>
  <c r="I11" i="5" l="1"/>
  <c r="I9" i="5"/>
  <c r="I10" i="5" s="1"/>
  <c r="D134" i="4"/>
  <c r="D83" i="4" s="1"/>
  <c r="F5" i="5" l="1"/>
  <c r="F4" i="5" s="1"/>
  <c r="D133" i="4"/>
  <c r="D82" i="4" s="1"/>
  <c r="D132" i="4" l="1"/>
  <c r="D81" i="4" s="1"/>
  <c r="F8" i="5" l="1"/>
  <c r="F9" i="5" s="1"/>
  <c r="F7" i="5"/>
  <c r="D131" i="4"/>
  <c r="D80" i="4" s="1"/>
  <c r="D130" i="4" l="1"/>
  <c r="D79" i="4" l="1"/>
  <c r="M13" i="7"/>
  <c r="I9" i="2"/>
  <c r="I10" i="2" s="1"/>
  <c r="D129" i="4"/>
  <c r="D78" i="4" s="1"/>
  <c r="D128" i="4" l="1"/>
  <c r="D77" i="4" s="1"/>
  <c r="D127" i="4" l="1"/>
  <c r="D76" i="4" s="1"/>
  <c r="D126" i="4" l="1"/>
  <c r="D75" i="4" s="1"/>
  <c r="D125" i="4" l="1"/>
  <c r="D74" i="4" s="1"/>
  <c r="D124" i="4" l="1"/>
  <c r="D73" i="4" s="1"/>
  <c r="D123" i="4" l="1"/>
  <c r="D72" i="4" s="1"/>
  <c r="D122" i="4" l="1"/>
  <c r="D71" i="4" s="1"/>
  <c r="D121" i="4" l="1"/>
  <c r="D70" i="4" s="1"/>
  <c r="D120" i="4" l="1"/>
  <c r="D69" i="4" l="1"/>
  <c r="I11" i="2"/>
  <c r="D119" i="4"/>
  <c r="D68" i="4" s="1"/>
  <c r="I14" i="2" l="1"/>
  <c r="I19" i="2"/>
  <c r="I20" i="2" s="1"/>
  <c r="I21" i="2" s="1"/>
  <c r="F4" i="2" s="1"/>
  <c r="D118" i="4"/>
  <c r="D67" i="4" s="1"/>
  <c r="I16" i="2" l="1"/>
  <c r="I17" i="2" s="1"/>
  <c r="D117" i="4"/>
  <c r="D66" i="4" s="1"/>
  <c r="I18" i="2" l="1"/>
  <c r="I22" i="2" s="1"/>
  <c r="D116" i="4"/>
  <c r="D65" i="4" s="1"/>
  <c r="I23" i="2" l="1"/>
  <c r="I27" i="2" s="1"/>
  <c r="I40" i="2"/>
  <c r="D115" i="4"/>
  <c r="D64" i="4" s="1"/>
  <c r="F10" i="2" l="1"/>
  <c r="F5" i="2"/>
  <c r="F6" i="2" s="1"/>
  <c r="F14" i="2" s="1"/>
  <c r="D114" i="4"/>
  <c r="D63" i="4" s="1"/>
  <c r="F13" i="2" l="1"/>
  <c r="D113" i="4"/>
  <c r="D62" i="4" s="1"/>
  <c r="F15" i="2" l="1"/>
  <c r="D112" i="4"/>
  <c r="D61" i="4" s="1"/>
  <c r="D111" i="4" l="1"/>
  <c r="D60" i="4" s="1"/>
  <c r="D110" i="4" l="1"/>
  <c r="D59" i="4" s="1"/>
  <c r="D109" i="4" l="1"/>
  <c r="D58" i="4" s="1"/>
  <c r="D108" i="4" l="1"/>
  <c r="D57" i="4" s="1"/>
  <c r="D107" i="4" l="1"/>
  <c r="D56" i="4" s="1"/>
  <c r="D106" i="4" l="1"/>
  <c r="D55" i="4" s="1"/>
  <c r="D105" i="4" l="1"/>
  <c r="D54" i="4" s="1"/>
  <c r="D104" i="4" l="1"/>
  <c r="D53" i="4" s="1"/>
  <c r="D103" i="4" l="1"/>
  <c r="D52" i="4" s="1"/>
  <c r="D102" i="4" l="1"/>
  <c r="D51" i="4" s="1"/>
  <c r="D101" i="4" l="1"/>
  <c r="D50" i="4" s="1"/>
  <c r="D100" i="4" l="1"/>
  <c r="D49" i="4" s="1"/>
  <c r="D99" i="4" l="1"/>
  <c r="D48" i="4" s="1"/>
  <c r="D98" i="4" l="1"/>
  <c r="D47" i="4" s="1"/>
  <c r="D97" i="4" l="1"/>
  <c r="D46" i="4" s="1"/>
  <c r="D96" i="4" l="1"/>
  <c r="D45" i="4" s="1"/>
  <c r="D95" i="4" l="1"/>
  <c r="D44" i="4" s="1"/>
  <c r="D94" i="4" l="1"/>
  <c r="D93" i="4" l="1"/>
  <c r="D43" i="4"/>
  <c r="D92" i="4" l="1"/>
  <c r="D42" i="4"/>
  <c r="D91" i="4" l="1"/>
  <c r="D40" i="4" s="1"/>
  <c r="D41" i="4"/>
  <c r="M103" i="7" a="1"/>
  <c r="M103" i="7" l="1"/>
  <c r="M6" i="7" s="1"/>
  <c r="M10" i="7" s="1"/>
  <c r="M5" i="7" l="1"/>
  <c r="M11" i="7"/>
  <c r="M8" i="7"/>
  <c r="M12" i="7" l="1"/>
  <c r="M14" i="7" s="1"/>
  <c r="M20" i="7" s="1"/>
  <c r="J3" i="7" s="1"/>
  <c r="P103" i="7" a="1"/>
  <c r="P103" i="7" l="1"/>
  <c r="P6" i="7" s="1"/>
  <c r="P11" i="7" l="1"/>
  <c r="P10" i="7"/>
  <c r="P8" i="7"/>
  <c r="P12" i="7" l="1"/>
  <c r="P14" i="7" s="1"/>
  <c r="P20" i="7" l="1"/>
  <c r="J7" i="7" s="1"/>
  <c r="M25" i="7"/>
  <c r="J4" i="7" s="1"/>
  <c r="J5" i="7" s="1"/>
  <c r="P25" i="7" l="1"/>
  <c r="J8" i="7" s="1"/>
  <c r="J9" i="7" s="1"/>
</calcChain>
</file>

<file path=xl/sharedStrings.xml><?xml version="1.0" encoding="utf-8"?>
<sst xmlns="http://schemas.openxmlformats.org/spreadsheetml/2006/main" count="200" uniqueCount="127">
  <si>
    <t>Inputs</t>
  </si>
  <si>
    <t>Results</t>
  </si>
  <si>
    <t>Calculations</t>
  </si>
  <si>
    <t>Worker with Non-Covered Pension (Client 1)</t>
  </si>
  <si>
    <t>Client 1 Increase Due To WEP/GPO Repeal</t>
  </si>
  <si>
    <t>WEP Reduction - Client 1</t>
  </si>
  <si>
    <t>Year of birth</t>
  </si>
  <si>
    <t>Current WEP Reduced Benefit</t>
  </si>
  <si>
    <t>Client 1 FRA</t>
  </si>
  <si>
    <t>Years</t>
  </si>
  <si>
    <t>Months</t>
  </si>
  <si>
    <t>Increase in Retirement Benefit</t>
  </si>
  <si>
    <t>Months Claimed Before FRA</t>
  </si>
  <si>
    <t xml:space="preserve">Age of Social Security Retirement Election </t>
  </si>
  <si>
    <t>Increase in Spousal Excess Benefit</t>
  </si>
  <si>
    <t>Actuarial Reduction Factor</t>
  </si>
  <si>
    <t>Age of Spousal Benefit Election</t>
  </si>
  <si>
    <t>Total Increase in Monthly Benefit</t>
  </si>
  <si>
    <t>Months Delayed past FRA</t>
  </si>
  <si>
    <t>Current Benefit Amount</t>
  </si>
  <si>
    <t>New (Non-Reduced) Monthly Benefit</t>
  </si>
  <si>
    <t>Delayed Retirement Credit</t>
  </si>
  <si>
    <t>Years of Substantial Earnings</t>
  </si>
  <si>
    <t>20 or less</t>
  </si>
  <si>
    <t>Client 2 Increase Due to WEP/GPO Repeal</t>
  </si>
  <si>
    <t>Current WEP PIA</t>
  </si>
  <si>
    <t>Spouse (Client 2)</t>
  </si>
  <si>
    <t>Current WEP Reduced Spousal Benefit</t>
  </si>
  <si>
    <t>Inflation Factor</t>
  </si>
  <si>
    <t>Increase in Spousal Benefit</t>
  </si>
  <si>
    <t>Original WEP PIA</t>
  </si>
  <si>
    <t>Tentative AIME</t>
  </si>
  <si>
    <t xml:space="preserve">Age of Social Security Election </t>
  </si>
  <si>
    <t>Retroactive Benefit Payments</t>
  </si>
  <si>
    <t>First Bend Factor</t>
  </si>
  <si>
    <t>2024 Retroactive Benefit</t>
  </si>
  <si>
    <t>First Bend in Eligibility Year</t>
  </si>
  <si>
    <t>Current Retirement Benefit Amount</t>
  </si>
  <si>
    <t>2025 Retroactive Benefit</t>
  </si>
  <si>
    <t>AIME After First Bend</t>
  </si>
  <si>
    <t>Months of Eligibility in 2024</t>
  </si>
  <si>
    <t>Total Retroactive Benefit</t>
  </si>
  <si>
    <t>Second Bend in Eligibility Year</t>
  </si>
  <si>
    <t>AIME After Second Bend</t>
  </si>
  <si>
    <t>Total AIME</t>
  </si>
  <si>
    <t>Initial Raw PIA</t>
  </si>
  <si>
    <t>WEP Reduction</t>
  </si>
  <si>
    <t>Inflated WEP Reduction</t>
  </si>
  <si>
    <t>WEP Reduction after AR/DRC</t>
  </si>
  <si>
    <t>Inflated PIA</t>
  </si>
  <si>
    <t>Benefit After AR/DRC</t>
  </si>
  <si>
    <t>GPO Reduction - Client 1 Spousal Benefit</t>
  </si>
  <si>
    <t>Client 1 Spousal Months Early</t>
  </si>
  <si>
    <t>Client 1 Spousal Reduction Factor</t>
  </si>
  <si>
    <t>Client 1 Spousal Excess Benefit</t>
  </si>
  <si>
    <t>Client 2 FRA</t>
  </si>
  <si>
    <t>Months Early</t>
  </si>
  <si>
    <t>Spouse Months Delayed after FRA</t>
  </si>
  <si>
    <t>Spouse Delayed Retirement Credit</t>
  </si>
  <si>
    <t xml:space="preserve">Spouse's Current PIA </t>
  </si>
  <si>
    <t>Maximum Benefit to a Spouse</t>
  </si>
  <si>
    <t>WEP Reduction Client 2 Spousall Benefit</t>
  </si>
  <si>
    <t>Spousal Months Early</t>
  </si>
  <si>
    <t>Spousal Reduction Factor</t>
  </si>
  <si>
    <t>Spousal Excess Benefit</t>
  </si>
  <si>
    <t>WEP Reduced Spousal Benefit</t>
  </si>
  <si>
    <t>Spousal Benefit</t>
  </si>
  <si>
    <t>Widow with Non-Covered Pension</t>
  </si>
  <si>
    <t>Increase In Benefit Due to WEP/GPO Repeal</t>
  </si>
  <si>
    <t>Deceased Spouse FRA</t>
  </si>
  <si>
    <t>Current (GPO-Reduced) Survivor Benefit</t>
  </si>
  <si>
    <t>Age</t>
  </si>
  <si>
    <t>Month</t>
  </si>
  <si>
    <t>Increase in Survivor Benefit</t>
  </si>
  <si>
    <t>Age of Widow Benefit Election</t>
  </si>
  <si>
    <t>New (Non-Reduced) Survivor Benefit</t>
  </si>
  <si>
    <t>Months Delayed After FRA</t>
  </si>
  <si>
    <t>Months of Survivor Benefit Elgibility in 2024</t>
  </si>
  <si>
    <t>Retroactice Benefit Payments</t>
  </si>
  <si>
    <t>Current Monthly Own Benefit Amount (2025)</t>
  </si>
  <si>
    <t>Deceased PIA at Death</t>
  </si>
  <si>
    <t>Deceased Spouse</t>
  </si>
  <si>
    <t>COLAs between death and 2025</t>
  </si>
  <si>
    <t>Deceased Spouse Current PIA</t>
  </si>
  <si>
    <t>Year of Death</t>
  </si>
  <si>
    <t>Widow Limit</t>
  </si>
  <si>
    <t>Current Widow Benefit Amount</t>
  </si>
  <si>
    <t>Widow(er)'s Full Retirement Age</t>
  </si>
  <si>
    <t>Benefit Amount in Year of Death</t>
  </si>
  <si>
    <t>Widow(er)'s Months Claimed Before FRA</t>
  </si>
  <si>
    <t>Widow Reduction Factor</t>
  </si>
  <si>
    <t xml:space="preserve">Client 1 </t>
  </si>
  <si>
    <t>Client 2</t>
  </si>
  <si>
    <t>Client 1 Monthly Benefit Amounts</t>
  </si>
  <si>
    <t>Client 1 Retirement</t>
  </si>
  <si>
    <t>Client 2 Retirement</t>
  </si>
  <si>
    <t>Retirement Benefit</t>
  </si>
  <si>
    <t>Year of initial Eligibility</t>
  </si>
  <si>
    <t>Age of initial eligibility</t>
  </si>
  <si>
    <t>Wage Index at Eligibility</t>
  </si>
  <si>
    <t xml:space="preserve">Total Benefit </t>
  </si>
  <si>
    <t>Total Adjusted Earnings</t>
  </si>
  <si>
    <t>AIME</t>
  </si>
  <si>
    <t>Age of Spousal Election</t>
  </si>
  <si>
    <t>Client 1 Historical Earnings</t>
  </si>
  <si>
    <t>Amount</t>
  </si>
  <si>
    <t>Client 2 Historical Earnings</t>
  </si>
  <si>
    <t>PIA under First Bend</t>
  </si>
  <si>
    <t>PIA Under Second Bend</t>
  </si>
  <si>
    <t>PIA Over Second Bend</t>
  </si>
  <si>
    <t>PIA</t>
  </si>
  <si>
    <t>FRA</t>
  </si>
  <si>
    <t>PIA Percentage</t>
  </si>
  <si>
    <t>DRC months</t>
  </si>
  <si>
    <t>Benefit Amount</t>
  </si>
  <si>
    <t>Spousal</t>
  </si>
  <si>
    <t>Wage Indexing Factor</t>
  </si>
  <si>
    <t>Adjusted Earnings</t>
  </si>
  <si>
    <t>DRC Table</t>
  </si>
  <si>
    <t>Bend Points</t>
  </si>
  <si>
    <t>COLA Series</t>
  </si>
  <si>
    <t>Accumulated COLAs</t>
  </si>
  <si>
    <r>
      <t>1999</t>
    </r>
    <r>
      <rPr>
        <vertAlign val="superscript"/>
        <sz val="7.5"/>
        <color theme="1"/>
        <rFont val="Aptos Narrow"/>
        <family val="2"/>
        <scheme val="minor"/>
      </rPr>
      <t> a</t>
    </r>
  </si>
  <si>
    <t>Years of substantial earnings</t>
  </si>
  <si>
    <t>30 or more</t>
  </si>
  <si>
    <t>Wage Indexing Series</t>
  </si>
  <si>
    <t>Year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</si>
</sst>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164" formatCode="0.0000"/>
    <numFmt numFmtId="165" formatCode="0.00000"/>
    <numFmt numFmtId="166" formatCode="&quot;$&quot;#,##0"/>
  </numFmts>
  <fonts count="14" x14ac:knownFonts="1">
    <font>
      <sz val="11"/>
      <color theme="1"/>
      <name val="Aptos Narrow"/>
      <family val="2"/>
      <scheme val="minor"/>
    </font>
    <font>
      <vertAlign val="superscript"/>
      <sz val="7.5"/>
      <color theme="1"/>
      <name val="Aptos Narrow"/>
      <family val="2"/>
      <scheme val="minor"/>
    </font>
    <font>
      <sz val="12"/>
      <color rgb="FF212121"/>
      <name val="Roboto"/>
    </font>
    <font>
      <b/>
      <sz val="11"/>
      <color theme="1"/>
      <name val="Aptos Narrow"/>
      <family val="2"/>
      <scheme val="minor"/>
    </font>
    <font>
      <u/>
      <sz val="11"/>
      <color theme="10"/>
      <name val="Aptos Narrow"/>
      <family val="2"/>
      <scheme val="minor"/>
    </font>
    <font>
      <sz val="11"/>
      <color rgb="FF242424"/>
      <name val="Consolas"/>
      <family val="3"/>
    </font>
    <font>
      <b/>
      <sz val="16"/>
      <color theme="1"/>
      <name val="Montserrat"/>
    </font>
    <font>
      <b/>
      <sz val="12"/>
      <color theme="1"/>
      <name val="Aptos Narrow"/>
      <family val="2"/>
      <scheme val="minor"/>
    </font>
    <font>
      <b/>
      <sz val="14"/>
      <color theme="1"/>
      <name val="Aptos Narrow"/>
      <family val="2"/>
      <scheme val="minor"/>
    </font>
    <font>
      <sz val="12"/>
      <color theme="1"/>
      <name val="Aptos Narrow"/>
      <family val="2"/>
      <scheme val="minor"/>
    </font>
    <font>
      <sz val="14"/>
      <color theme="1"/>
      <name val="Aptos Narrow"/>
      <family val="2"/>
      <scheme val="minor"/>
    </font>
    <font>
      <sz val="11"/>
      <name val="Aptos Narrow"/>
      <family val="2"/>
      <scheme val="minor"/>
    </font>
    <font>
      <sz val="8"/>
      <name val="Aptos Narrow"/>
      <family val="2"/>
      <scheme val="minor"/>
    </font>
    <font>
      <sz val="11"/>
      <color theme="1"/>
      <name val="Segoe UI"/>
      <family val="2"/>
    </font>
  </fonts>
  <fills count="7">
    <fill>
      <patternFill patternType="none"/>
    </fill>
    <fill>
      <patternFill patternType="gray125"/>
    </fill>
    <fill>
      <patternFill patternType="solid">
        <fgColor rgb="FFFFFFFF"/>
        <bgColor indexed="64"/>
      </patternFill>
    </fill>
    <fill>
      <patternFill patternType="solid">
        <fgColor rgb="FFFFFF00"/>
        <bgColor indexed="64"/>
      </patternFill>
    </fill>
    <fill>
      <patternFill patternType="solid">
        <fgColor theme="6" tint="0.59999389629810485"/>
        <bgColor indexed="64"/>
      </patternFill>
    </fill>
    <fill>
      <patternFill patternType="solid">
        <fgColor theme="3" tint="0.499984740745262"/>
        <bgColor indexed="64"/>
      </patternFill>
    </fill>
    <fill>
      <patternFill patternType="solid">
        <fgColor theme="9" tint="0.39997558519241921"/>
        <bgColor indexed="64"/>
      </patternFill>
    </fill>
  </fills>
  <borders count="46">
    <border>
      <left/>
      <right/>
      <top/>
      <bottom/>
      <diagonal/>
    </border>
    <border>
      <left style="thick">
        <color rgb="FFCCDDEE"/>
      </left>
      <right/>
      <top style="thick">
        <color rgb="FFCCDDEE"/>
      </top>
      <bottom/>
      <diagonal/>
    </border>
    <border>
      <left/>
      <right style="thick">
        <color rgb="FFCCDDEE"/>
      </right>
      <top style="thick">
        <color rgb="FFCCDDEE"/>
      </top>
      <bottom/>
      <diagonal/>
    </border>
    <border>
      <left style="thick">
        <color rgb="FFCCDDEE"/>
      </left>
      <right/>
      <top/>
      <bottom/>
      <diagonal/>
    </border>
    <border>
      <left/>
      <right style="thick">
        <color rgb="FFCCDDEE"/>
      </right>
      <top/>
      <bottom/>
      <diagonal/>
    </border>
    <border>
      <left style="thick">
        <color rgb="FFCCDDEE"/>
      </left>
      <right/>
      <top/>
      <bottom style="thick">
        <color rgb="FFCCDDEE"/>
      </bottom>
      <diagonal/>
    </border>
    <border>
      <left/>
      <right style="thick">
        <color rgb="FFCCDDEE"/>
      </right>
      <top/>
      <bottom style="thick">
        <color rgb="FFCCDDEE"/>
      </bottom>
      <diagonal/>
    </border>
    <border>
      <left style="medium">
        <color rgb="FFDDDDDD"/>
      </left>
      <right style="medium">
        <color rgb="FFDDDDDD"/>
      </right>
      <top style="medium">
        <color rgb="FFDDDDDD"/>
      </top>
      <bottom style="medium">
        <color rgb="FFDDDDDD"/>
      </bottom>
      <diagonal/>
    </border>
    <border>
      <left style="thick">
        <color rgb="FFCCDDEE"/>
      </left>
      <right/>
      <top style="thick">
        <color rgb="FFCCDDEE"/>
      </top>
      <bottom style="medium">
        <color rgb="FF333366"/>
      </bottom>
      <diagonal/>
    </border>
    <border>
      <left/>
      <right style="thick">
        <color rgb="FFCCDDEE"/>
      </right>
      <top style="thick">
        <color rgb="FFCCDDEE"/>
      </top>
      <bottom style="medium">
        <color rgb="FF333366"/>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bottom style="thin">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diagonal/>
    </border>
    <border>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2">
    <xf numFmtId="0" fontId="0" fillId="0" borderId="0"/>
    <xf numFmtId="0" fontId="4" fillId="0" borderId="0" applyNumberFormat="0" applyFill="0" applyBorder="0" applyAlignment="0" applyProtection="0"/>
  </cellStyleXfs>
  <cellXfs count="127">
    <xf numFmtId="0" fontId="0" fillId="0" borderId="0" xfId="0"/>
    <xf numFmtId="0" fontId="0" fillId="2" borderId="1" xfId="0" applyFill="1" applyBorder="1" applyAlignment="1">
      <alignment horizontal="left" vertical="center" wrapText="1"/>
    </xf>
    <xf numFmtId="0" fontId="0" fillId="2" borderId="2" xfId="0" applyFill="1" applyBorder="1" applyAlignment="1">
      <alignment horizontal="right" vertical="center" wrapText="1"/>
    </xf>
    <xf numFmtId="0" fontId="0" fillId="2" borderId="3" xfId="0" applyFill="1" applyBorder="1" applyAlignment="1">
      <alignment horizontal="left" vertical="center" wrapText="1"/>
    </xf>
    <xf numFmtId="0" fontId="0" fillId="2" borderId="4" xfId="0" applyFill="1" applyBorder="1" applyAlignment="1">
      <alignment horizontal="right" vertical="center" wrapText="1"/>
    </xf>
    <xf numFmtId="0" fontId="0" fillId="2" borderId="5" xfId="0" applyFill="1" applyBorder="1" applyAlignment="1">
      <alignment horizontal="left" vertical="center" wrapText="1"/>
    </xf>
    <xf numFmtId="0" fontId="0" fillId="2" borderId="6" xfId="0" applyFill="1" applyBorder="1" applyAlignment="1">
      <alignment horizontal="right" vertical="center" wrapText="1"/>
    </xf>
    <xf numFmtId="12" fontId="0" fillId="0" borderId="0" xfId="0" applyNumberFormat="1"/>
    <xf numFmtId="13" fontId="0" fillId="0" borderId="0" xfId="0" applyNumberFormat="1"/>
    <xf numFmtId="0" fontId="2" fillId="2" borderId="7" xfId="0" applyFont="1" applyFill="1" applyBorder="1" applyAlignment="1">
      <alignment horizontal="center" vertical="center" wrapText="1"/>
    </xf>
    <xf numFmtId="6" fontId="2" fillId="2" borderId="7" xfId="0" applyNumberFormat="1" applyFont="1" applyFill="1" applyBorder="1" applyAlignment="1">
      <alignment horizontal="right" vertical="center" wrapText="1"/>
    </xf>
    <xf numFmtId="0" fontId="2" fillId="2" borderId="7" xfId="0" applyFont="1" applyFill="1" applyBorder="1" applyAlignment="1">
      <alignment horizontal="right" vertical="center" wrapText="1"/>
    </xf>
    <xf numFmtId="3" fontId="2" fillId="2" borderId="7" xfId="0" applyNumberFormat="1" applyFont="1" applyFill="1" applyBorder="1" applyAlignment="1">
      <alignment horizontal="right" vertical="center" wrapText="1"/>
    </xf>
    <xf numFmtId="0" fontId="0" fillId="0" borderId="0" xfId="0" applyAlignment="1">
      <alignment horizontal="left" vertical="center" wrapText="1"/>
    </xf>
    <xf numFmtId="4" fontId="0" fillId="0" borderId="0" xfId="0" applyNumberFormat="1" applyAlignment="1">
      <alignment horizontal="right" vertical="center" wrapText="1"/>
    </xf>
    <xf numFmtId="0" fontId="3" fillId="0" borderId="0" xfId="0" applyFont="1" applyAlignment="1">
      <alignment horizontal="left" vertical="center" wrapText="1"/>
    </xf>
    <xf numFmtId="0" fontId="3" fillId="0" borderId="0" xfId="0" applyFont="1" applyAlignment="1">
      <alignment horizontal="right" vertical="center" wrapText="1"/>
    </xf>
    <xf numFmtId="0" fontId="3" fillId="2" borderId="8" xfId="0" applyFont="1" applyFill="1" applyBorder="1" applyAlignment="1">
      <alignment horizontal="left" vertical="center" wrapText="1"/>
    </xf>
    <xf numFmtId="0" fontId="3" fillId="2" borderId="9" xfId="0" applyFont="1" applyFill="1" applyBorder="1" applyAlignment="1">
      <alignment horizontal="right" vertical="center" wrapText="1"/>
    </xf>
    <xf numFmtId="6" fontId="0" fillId="2" borderId="4" xfId="0" applyNumberFormat="1" applyFill="1" applyBorder="1" applyAlignment="1">
      <alignment horizontal="right" vertical="center" wrapText="1"/>
    </xf>
    <xf numFmtId="3" fontId="0" fillId="2" borderId="4" xfId="0" applyNumberFormat="1" applyFill="1" applyBorder="1" applyAlignment="1">
      <alignment horizontal="right" vertical="center" wrapText="1"/>
    </xf>
    <xf numFmtId="3" fontId="0" fillId="2" borderId="6" xfId="0" applyNumberFormat="1" applyFill="1" applyBorder="1" applyAlignment="1">
      <alignment horizontal="right" vertical="center" wrapText="1"/>
    </xf>
    <xf numFmtId="0" fontId="0" fillId="0" borderId="0" xfId="0" applyProtection="1">
      <protection locked="0"/>
    </xf>
    <xf numFmtId="1" fontId="0" fillId="3" borderId="35" xfId="0" applyNumberFormat="1" applyFill="1" applyBorder="1" applyProtection="1">
      <protection locked="0"/>
    </xf>
    <xf numFmtId="1" fontId="0" fillId="3" borderId="36" xfId="0" applyNumberFormat="1" applyFill="1" applyBorder="1" applyProtection="1">
      <protection locked="0"/>
    </xf>
    <xf numFmtId="0" fontId="0" fillId="3" borderId="32" xfId="0" applyFill="1" applyBorder="1" applyProtection="1">
      <protection locked="0"/>
    </xf>
    <xf numFmtId="0" fontId="0" fillId="3" borderId="43" xfId="0" applyFill="1" applyBorder="1" applyProtection="1">
      <protection locked="0"/>
    </xf>
    <xf numFmtId="0" fontId="0" fillId="3" borderId="15" xfId="0" applyFill="1" applyBorder="1" applyProtection="1">
      <protection locked="0"/>
    </xf>
    <xf numFmtId="0" fontId="0" fillId="3" borderId="35" xfId="0" applyFill="1" applyBorder="1" applyProtection="1">
      <protection locked="0"/>
    </xf>
    <xf numFmtId="1" fontId="0" fillId="3" borderId="33" xfId="0" applyNumberFormat="1" applyFill="1" applyBorder="1" applyProtection="1">
      <protection locked="0"/>
    </xf>
    <xf numFmtId="1" fontId="0" fillId="3" borderId="34" xfId="0" applyNumberFormat="1" applyFill="1" applyBorder="1" applyProtection="1">
      <protection locked="0"/>
    </xf>
    <xf numFmtId="2" fontId="0" fillId="0" borderId="0" xfId="0" applyNumberFormat="1" applyProtection="1">
      <protection locked="0"/>
    </xf>
    <xf numFmtId="0" fontId="3" fillId="0" borderId="0" xfId="0" applyFont="1" applyProtection="1">
      <protection locked="0"/>
    </xf>
    <xf numFmtId="165" fontId="0" fillId="0" borderId="0" xfId="0" applyNumberFormat="1"/>
    <xf numFmtId="0" fontId="0" fillId="0" borderId="12" xfId="0" applyBorder="1"/>
    <xf numFmtId="2" fontId="0" fillId="0" borderId="13" xfId="0" applyNumberFormat="1" applyBorder="1"/>
    <xf numFmtId="0" fontId="0" fillId="0" borderId="13" xfId="0" applyBorder="1"/>
    <xf numFmtId="0" fontId="0" fillId="0" borderId="0" xfId="0" applyAlignment="1">
      <alignment wrapText="1"/>
    </xf>
    <xf numFmtId="2" fontId="0" fillId="0" borderId="0" xfId="0" applyNumberFormat="1" applyAlignment="1">
      <alignment wrapText="1"/>
    </xf>
    <xf numFmtId="0" fontId="7" fillId="5" borderId="12" xfId="0" applyFont="1" applyFill="1" applyBorder="1"/>
    <xf numFmtId="0" fontId="0" fillId="5" borderId="13" xfId="0" applyFill="1" applyBorder="1"/>
    <xf numFmtId="2" fontId="0" fillId="0" borderId="0" xfId="0" applyNumberFormat="1"/>
    <xf numFmtId="1" fontId="0" fillId="0" borderId="13" xfId="0" applyNumberFormat="1" applyBorder="1"/>
    <xf numFmtId="10" fontId="0" fillId="0" borderId="13" xfId="0" applyNumberFormat="1" applyBorder="1"/>
    <xf numFmtId="0" fontId="3" fillId="5" borderId="12" xfId="0" applyFont="1" applyFill="1" applyBorder="1"/>
    <xf numFmtId="2" fontId="0" fillId="5" borderId="13" xfId="0" applyNumberFormat="1" applyFill="1" applyBorder="1"/>
    <xf numFmtId="0" fontId="0" fillId="0" borderId="14" xfId="0" applyBorder="1"/>
    <xf numFmtId="0" fontId="0" fillId="0" borderId="15" xfId="0" applyBorder="1"/>
    <xf numFmtId="0" fontId="3" fillId="4" borderId="38" xfId="0" applyFont="1" applyFill="1" applyBorder="1"/>
    <xf numFmtId="166" fontId="3" fillId="4" borderId="15" xfId="0" applyNumberFormat="1" applyFont="1" applyFill="1" applyBorder="1"/>
    <xf numFmtId="0" fontId="0" fillId="0" borderId="28" xfId="0" applyBorder="1"/>
    <xf numFmtId="0" fontId="0" fillId="0" borderId="45" xfId="0" applyBorder="1"/>
    <xf numFmtId="0" fontId="0" fillId="0" borderId="31" xfId="0" applyBorder="1"/>
    <xf numFmtId="166" fontId="0" fillId="0" borderId="32" xfId="0" applyNumberFormat="1" applyBorder="1"/>
    <xf numFmtId="2" fontId="0" fillId="0" borderId="13" xfId="0" applyNumberFormat="1" applyBorder="1" applyAlignment="1">
      <alignment wrapText="1"/>
    </xf>
    <xf numFmtId="166" fontId="0" fillId="0" borderId="41" xfId="0" applyNumberFormat="1" applyBorder="1"/>
    <xf numFmtId="0" fontId="7" fillId="5" borderId="23" xfId="0" applyFont="1" applyFill="1" applyBorder="1"/>
    <xf numFmtId="166" fontId="0" fillId="5" borderId="24" xfId="0" applyNumberFormat="1" applyFill="1" applyBorder="1"/>
    <xf numFmtId="0" fontId="0" fillId="0" borderId="37" xfId="0" applyBorder="1"/>
    <xf numFmtId="0" fontId="0" fillId="0" borderId="44" xfId="0" applyBorder="1"/>
    <xf numFmtId="1" fontId="0" fillId="0" borderId="33" xfId="0" applyNumberFormat="1" applyBorder="1"/>
    <xf numFmtId="0" fontId="0" fillId="0" borderId="22" xfId="0" applyBorder="1"/>
    <xf numFmtId="166" fontId="0" fillId="0" borderId="22" xfId="0" applyNumberFormat="1" applyBorder="1"/>
    <xf numFmtId="1" fontId="10" fillId="5" borderId="30" xfId="0" applyNumberFormat="1" applyFont="1" applyFill="1" applyBorder="1"/>
    <xf numFmtId="0" fontId="10" fillId="5" borderId="24" xfId="0" applyFont="1" applyFill="1" applyBorder="1"/>
    <xf numFmtId="0" fontId="5" fillId="0" borderId="13" xfId="0" applyFont="1" applyBorder="1" applyAlignment="1">
      <alignment wrapText="1"/>
    </xf>
    <xf numFmtId="0" fontId="7" fillId="5" borderId="39" xfId="0" applyFont="1" applyFill="1" applyBorder="1"/>
    <xf numFmtId="166" fontId="0" fillId="5" borderId="40" xfId="0" applyNumberFormat="1" applyFill="1" applyBorder="1"/>
    <xf numFmtId="0" fontId="0" fillId="0" borderId="42" xfId="0" applyBorder="1"/>
    <xf numFmtId="166" fontId="3" fillId="4" borderId="27" xfId="0" applyNumberFormat="1" applyFont="1" applyFill="1" applyBorder="1"/>
    <xf numFmtId="1" fontId="0" fillId="0" borderId="35" xfId="0" applyNumberFormat="1" applyBorder="1"/>
    <xf numFmtId="0" fontId="0" fillId="0" borderId="32" xfId="0" applyBorder="1"/>
    <xf numFmtId="166" fontId="0" fillId="0" borderId="13" xfId="0" applyNumberFormat="1" applyBorder="1"/>
    <xf numFmtId="0" fontId="6" fillId="0" borderId="0" xfId="0" applyFont="1"/>
    <xf numFmtId="1" fontId="0" fillId="5" borderId="30" xfId="0" applyNumberFormat="1" applyFill="1" applyBorder="1"/>
    <xf numFmtId="0" fontId="0" fillId="5" borderId="24" xfId="0" applyFill="1" applyBorder="1"/>
    <xf numFmtId="0" fontId="8" fillId="5" borderId="24" xfId="0" applyFont="1" applyFill="1" applyBorder="1"/>
    <xf numFmtId="0" fontId="7" fillId="5" borderId="10" xfId="0" applyFont="1" applyFill="1" applyBorder="1"/>
    <xf numFmtId="0" fontId="9" fillId="5" borderId="11" xfId="0" applyFont="1" applyFill="1" applyBorder="1"/>
    <xf numFmtId="1" fontId="0" fillId="3" borderId="25" xfId="0" applyNumberFormat="1" applyFill="1" applyBorder="1" applyProtection="1">
      <protection locked="0"/>
    </xf>
    <xf numFmtId="0" fontId="0" fillId="3" borderId="25" xfId="0" applyFill="1" applyBorder="1" applyProtection="1">
      <protection locked="0"/>
    </xf>
    <xf numFmtId="0" fontId="0" fillId="3" borderId="22" xfId="0" applyFill="1" applyBorder="1" applyProtection="1">
      <protection locked="0"/>
    </xf>
    <xf numFmtId="0" fontId="0" fillId="3" borderId="0" xfId="0" applyFill="1" applyProtection="1">
      <protection locked="0"/>
    </xf>
    <xf numFmtId="0" fontId="0" fillId="3" borderId="17" xfId="0" applyFill="1" applyBorder="1" applyProtection="1">
      <protection locked="0"/>
    </xf>
    <xf numFmtId="1" fontId="0" fillId="3" borderId="0" xfId="0" applyNumberFormat="1" applyFill="1" applyProtection="1">
      <protection locked="0"/>
    </xf>
    <xf numFmtId="1" fontId="0" fillId="3" borderId="17" xfId="0" applyNumberFormat="1" applyFill="1" applyBorder="1" applyProtection="1">
      <protection locked="0"/>
    </xf>
    <xf numFmtId="164" fontId="0" fillId="0" borderId="15" xfId="0" applyNumberFormat="1" applyBorder="1"/>
    <xf numFmtId="14" fontId="3" fillId="0" borderId="0" xfId="0" applyNumberFormat="1" applyFont="1"/>
    <xf numFmtId="0" fontId="3" fillId="0" borderId="0" xfId="0" applyFont="1"/>
    <xf numFmtId="0" fontId="0" fillId="0" borderId="19" xfId="0" applyBorder="1"/>
    <xf numFmtId="0" fontId="0" fillId="0" borderId="21" xfId="0" applyBorder="1"/>
    <xf numFmtId="0" fontId="0" fillId="0" borderId="18" xfId="0" applyBorder="1"/>
    <xf numFmtId="1" fontId="0" fillId="0" borderId="0" xfId="0" applyNumberFormat="1"/>
    <xf numFmtId="0" fontId="3" fillId="6" borderId="19" xfId="0" applyFont="1" applyFill="1" applyBorder="1"/>
    <xf numFmtId="166" fontId="0" fillId="6" borderId="15" xfId="0" applyNumberFormat="1" applyFill="1" applyBorder="1"/>
    <xf numFmtId="0" fontId="3" fillId="5" borderId="23" xfId="0" applyFont="1" applyFill="1" applyBorder="1"/>
    <xf numFmtId="0" fontId="11" fillId="0" borderId="19" xfId="1" applyFont="1" applyBorder="1" applyProtection="1"/>
    <xf numFmtId="0" fontId="0" fillId="5" borderId="22" xfId="0" applyFill="1" applyBorder="1"/>
    <xf numFmtId="14" fontId="0" fillId="0" borderId="18" xfId="0" applyNumberFormat="1" applyBorder="1"/>
    <xf numFmtId="0" fontId="3" fillId="6" borderId="14" xfId="0" applyFont="1" applyFill="1" applyBorder="1"/>
    <xf numFmtId="166" fontId="0" fillId="6" borderId="19" xfId="0" applyNumberFormat="1" applyFill="1" applyBorder="1"/>
    <xf numFmtId="166" fontId="0" fillId="0" borderId="18" xfId="0" applyNumberFormat="1" applyBorder="1"/>
    <xf numFmtId="0" fontId="0" fillId="5" borderId="29" xfId="0" applyFill="1" applyBorder="1"/>
    <xf numFmtId="0" fontId="0" fillId="0" borderId="10" xfId="0" applyBorder="1"/>
    <xf numFmtId="0" fontId="0" fillId="0" borderId="11" xfId="0" applyBorder="1"/>
    <xf numFmtId="0" fontId="0" fillId="3" borderId="13" xfId="0" applyFill="1" applyBorder="1" applyProtection="1">
      <protection locked="0"/>
    </xf>
    <xf numFmtId="0" fontId="0" fillId="3" borderId="20" xfId="0" applyFill="1" applyBorder="1" applyProtection="1">
      <protection locked="0"/>
    </xf>
    <xf numFmtId="10" fontId="0" fillId="3" borderId="0" xfId="0" applyNumberFormat="1" applyFill="1" applyProtection="1">
      <protection locked="0"/>
    </xf>
    <xf numFmtId="2" fontId="0" fillId="3" borderId="0" xfId="0" applyNumberFormat="1" applyFill="1" applyProtection="1">
      <protection locked="0"/>
    </xf>
    <xf numFmtId="0" fontId="0" fillId="0" borderId="17" xfId="0" applyBorder="1"/>
    <xf numFmtId="166" fontId="0" fillId="0" borderId="15" xfId="0" applyNumberFormat="1" applyBorder="1"/>
    <xf numFmtId="0" fontId="5" fillId="0" borderId="0" xfId="0" applyFont="1" applyAlignment="1">
      <alignment wrapText="1"/>
    </xf>
    <xf numFmtId="10" fontId="0" fillId="0" borderId="0" xfId="0" applyNumberFormat="1"/>
    <xf numFmtId="0" fontId="3" fillId="0" borderId="12" xfId="0" applyFont="1" applyBorder="1"/>
    <xf numFmtId="0" fontId="0" fillId="0" borderId="26" xfId="0" applyBorder="1"/>
    <xf numFmtId="1" fontId="0" fillId="0" borderId="36" xfId="0" applyNumberFormat="1" applyBorder="1"/>
    <xf numFmtId="166" fontId="0" fillId="5" borderId="13" xfId="0" applyNumberFormat="1" applyFill="1" applyBorder="1"/>
    <xf numFmtId="0" fontId="0" fillId="0" borderId="25" xfId="0" applyBorder="1"/>
    <xf numFmtId="0" fontId="6" fillId="0" borderId="17" xfId="0" applyFont="1" applyBorder="1"/>
    <xf numFmtId="0" fontId="3" fillId="5" borderId="10" xfId="0" applyFont="1" applyFill="1" applyBorder="1"/>
    <xf numFmtId="0" fontId="0" fillId="5" borderId="11" xfId="0" applyFill="1" applyBorder="1"/>
    <xf numFmtId="0" fontId="3" fillId="0" borderId="10" xfId="0" applyFont="1" applyBorder="1"/>
    <xf numFmtId="0" fontId="0" fillId="0" borderId="16" xfId="0" applyBorder="1"/>
    <xf numFmtId="0" fontId="3" fillId="0" borderId="16" xfId="0" applyFont="1" applyBorder="1"/>
    <xf numFmtId="2" fontId="0" fillId="0" borderId="15" xfId="0" applyNumberFormat="1" applyBorder="1"/>
    <xf numFmtId="0" fontId="13" fillId="0" borderId="0" xfId="0" applyFont="1"/>
    <xf numFmtId="0" fontId="0" fillId="0" borderId="0" xfId="0" applyAlignment="1">
      <alignment horizontal="center" vertical="top"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0</xdr:colOff>
      <xdr:row>16</xdr:row>
      <xdr:rowOff>104774</xdr:rowOff>
    </xdr:from>
    <xdr:to>
      <xdr:col>5</xdr:col>
      <xdr:colOff>1085850</xdr:colOff>
      <xdr:row>34</xdr:row>
      <xdr:rowOff>180975</xdr:rowOff>
    </xdr:to>
    <xdr:sp macro="" textlink="">
      <xdr:nvSpPr>
        <xdr:cNvPr id="2" name="TextBox 1">
          <a:extLst>
            <a:ext uri="{FF2B5EF4-FFF2-40B4-BE49-F238E27FC236}">
              <a16:creationId xmlns:a16="http://schemas.microsoft.com/office/drawing/2014/main" id="{C4E69B40-D120-4752-85EF-591DBAD5A895}"/>
            </a:ext>
          </a:extLst>
        </xdr:cNvPr>
        <xdr:cNvSpPr txBox="1"/>
      </xdr:nvSpPr>
      <xdr:spPr>
        <a:xfrm>
          <a:off x="0" y="3495674"/>
          <a:ext cx="8115300" cy="355282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0" u="none" strike="noStrike">
              <a:solidFill>
                <a:schemeClr val="dk1"/>
              </a:solidFill>
              <a:effectLst/>
              <a:latin typeface="+mn-lt"/>
              <a:ea typeface="+mn-ea"/>
              <a:cs typeface="+mn-cs"/>
            </a:rPr>
            <a:t>Notes:</a:t>
          </a:r>
          <a:r>
            <a:rPr lang="en-US"/>
            <a:t> </a:t>
          </a:r>
        </a:p>
        <a:p>
          <a:r>
            <a:rPr lang="en-US" sz="1100" b="0" i="0" u="none" strike="noStrike">
              <a:solidFill>
                <a:schemeClr val="dk1"/>
              </a:solidFill>
              <a:effectLst/>
              <a:latin typeface="+mn-lt"/>
              <a:ea typeface="+mn-ea"/>
              <a:cs typeface="+mn-cs"/>
            </a:rPr>
            <a:t>∙ For use only with people with people who have already filed for benefits</a:t>
          </a:r>
          <a:r>
            <a:rPr lang="en-US"/>
            <a:t> - if benefits have not been</a:t>
          </a:r>
          <a:r>
            <a:rPr lang="en-US" baseline="0"/>
            <a:t> claimed, use the annual Social Security statement or Social Security's Quick Calculator (https://www.ssa.gov/OACT/quickcalc/index.html) to estimate future benefits.</a:t>
          </a:r>
          <a:endParaRPr lang="en-US"/>
        </a:p>
        <a:p>
          <a:r>
            <a:rPr lang="en-US" sz="1100" b="0" i="0">
              <a:solidFill>
                <a:schemeClr val="dk1"/>
              </a:solidFill>
              <a:effectLst/>
              <a:latin typeface="+mn-lt"/>
              <a:ea typeface="+mn-ea"/>
              <a:cs typeface="+mn-cs"/>
            </a:rPr>
            <a:t>∙ </a:t>
          </a:r>
          <a:r>
            <a:rPr lang="en-US" sz="1100" b="0" i="0" u="none" strike="noStrike">
              <a:solidFill>
                <a:schemeClr val="dk1"/>
              </a:solidFill>
              <a:effectLst/>
              <a:latin typeface="+mn-lt"/>
              <a:ea typeface="+mn-ea"/>
              <a:cs typeface="+mn-cs"/>
            </a:rPr>
            <a:t>Does not include SSDI, SSI or Children's benefits</a:t>
          </a:r>
          <a:r>
            <a:rPr lang="en-US"/>
            <a:t> </a:t>
          </a:r>
        </a:p>
        <a:p>
          <a:r>
            <a:rPr lang="en-US" sz="1100" b="0" i="0">
              <a:solidFill>
                <a:schemeClr val="dk1"/>
              </a:solidFill>
              <a:effectLst/>
              <a:latin typeface="+mn-lt"/>
              <a:ea typeface="+mn-ea"/>
              <a:cs typeface="+mn-cs"/>
            </a:rPr>
            <a:t>∙ </a:t>
          </a:r>
          <a:r>
            <a:rPr lang="en-US" sz="1100" b="0" i="0" u="none" strike="noStrike">
              <a:solidFill>
                <a:schemeClr val="dk1"/>
              </a:solidFill>
              <a:effectLst/>
              <a:latin typeface="+mn-lt"/>
              <a:ea typeface="+mn-ea"/>
              <a:cs typeface="+mn-cs"/>
            </a:rPr>
            <a:t>Does not incorporate SSA rounding rules</a:t>
          </a:r>
          <a:r>
            <a:rPr lang="en-US"/>
            <a:t> </a:t>
          </a:r>
        </a:p>
        <a:p>
          <a:r>
            <a:rPr lang="en-US" sz="1100" b="0" i="0">
              <a:solidFill>
                <a:schemeClr val="dk1"/>
              </a:solidFill>
              <a:effectLst/>
              <a:latin typeface="+mn-lt"/>
              <a:ea typeface="+mn-ea"/>
              <a:cs typeface="+mn-cs"/>
            </a:rPr>
            <a:t>∙ </a:t>
          </a:r>
          <a:r>
            <a:rPr lang="en-US" sz="1100" b="0" i="0" u="none" strike="noStrike">
              <a:solidFill>
                <a:schemeClr val="dk1"/>
              </a:solidFill>
              <a:effectLst/>
              <a:latin typeface="+mn-lt"/>
              <a:ea typeface="+mn-ea"/>
              <a:cs typeface="+mn-cs"/>
            </a:rPr>
            <a:t>People born on January 1 should use the prior year for the year of birth</a:t>
          </a:r>
          <a:r>
            <a:rPr lang="en-US"/>
            <a:t> </a:t>
          </a:r>
        </a:p>
        <a:p>
          <a:r>
            <a:rPr lang="en-US" sz="1100" b="0" i="0">
              <a:solidFill>
                <a:schemeClr val="dk1"/>
              </a:solidFill>
              <a:effectLst/>
              <a:latin typeface="+mn-lt"/>
              <a:ea typeface="+mn-ea"/>
              <a:cs typeface="+mn-cs"/>
            </a:rPr>
            <a:t>∙ </a:t>
          </a:r>
          <a:r>
            <a:rPr lang="en-US" sz="1100" b="0" i="0" u="none" strike="noStrike">
              <a:solidFill>
                <a:schemeClr val="dk1"/>
              </a:solidFill>
              <a:effectLst/>
              <a:latin typeface="+mn-lt"/>
              <a:ea typeface="+mn-ea"/>
              <a:cs typeface="+mn-cs"/>
            </a:rPr>
            <a:t>Does not include WEP Guarantee (WEP reduction no more than 50% of initial pension amount, because initial pension amount is unlikely to be known)</a:t>
          </a:r>
          <a:r>
            <a:rPr lang="en-US"/>
            <a:t> </a:t>
          </a:r>
        </a:p>
        <a:p>
          <a:pPr marL="0" marR="0" lvl="0" indent="0" defTabSz="914400" eaLnBrk="1" fontAlgn="auto" latinLnBrk="0" hangingPunct="1">
            <a:lnSpc>
              <a:spcPct val="100000"/>
            </a:lnSpc>
            <a:spcBef>
              <a:spcPts val="0"/>
            </a:spcBef>
            <a:spcAft>
              <a:spcPts val="0"/>
            </a:spcAft>
            <a:buClrTx/>
            <a:buSzTx/>
            <a:buFontTx/>
            <a:buNone/>
            <a:tabLst/>
            <a:defRPr/>
          </a:pPr>
          <a:r>
            <a:rPr lang="en-US" sz="1100" b="0" i="0">
              <a:solidFill>
                <a:schemeClr val="dk1"/>
              </a:solidFill>
              <a:effectLst/>
              <a:latin typeface="+mn-lt"/>
              <a:ea typeface="+mn-ea"/>
              <a:cs typeface="+mn-cs"/>
            </a:rPr>
            <a:t>∙ Assumes total elimination</a:t>
          </a:r>
          <a:r>
            <a:rPr lang="en-US" sz="1100" b="0" i="0" baseline="0">
              <a:solidFill>
                <a:schemeClr val="dk1"/>
              </a:solidFill>
              <a:effectLst/>
              <a:latin typeface="+mn-lt"/>
              <a:ea typeface="+mn-ea"/>
              <a:cs typeface="+mn-cs"/>
            </a:rPr>
            <a:t> of a spoual or widow benefit due to the GPO.  In cases of a partial GPO, this calculator will be incorrect.  </a:t>
          </a:r>
          <a:endParaRPr lang="en-US"/>
        </a:p>
        <a:p>
          <a:r>
            <a:rPr lang="en-US" sz="1100" b="0" i="0">
              <a:solidFill>
                <a:schemeClr val="dk1"/>
              </a:solidFill>
              <a:effectLst/>
              <a:latin typeface="+mn-lt"/>
              <a:ea typeface="+mn-ea"/>
              <a:cs typeface="+mn-cs"/>
            </a:rPr>
            <a:t>∙ </a:t>
          </a:r>
          <a:r>
            <a:rPr lang="en-US" sz="1100" b="0" i="0" u="none" strike="noStrike">
              <a:solidFill>
                <a:schemeClr val="dk1"/>
              </a:solidFill>
              <a:effectLst/>
              <a:latin typeface="+mn-lt"/>
              <a:ea typeface="+mn-ea"/>
              <a:cs typeface="+mn-cs"/>
            </a:rPr>
            <a:t>Social Security recipients who are eligible for both their own retirement benefits and spousal benefits are deemed to have filed for both benefits at the same time (and will therefore have the same age of election for both benefits) in the following cases:</a:t>
          </a:r>
          <a:br>
            <a:rPr lang="en-US" sz="1100" b="0" i="0" u="none" strike="noStrike">
              <a:solidFill>
                <a:schemeClr val="dk1"/>
              </a:solidFill>
              <a:effectLst/>
              <a:latin typeface="+mn-lt"/>
              <a:ea typeface="+mn-ea"/>
              <a:cs typeface="+mn-cs"/>
            </a:rPr>
          </a:br>
          <a:endParaRPr lang="en-US" sz="1100" b="0" i="0" u="none" strike="noStrike">
            <a:solidFill>
              <a:schemeClr val="dk1"/>
            </a:solidFill>
            <a:effectLst/>
            <a:latin typeface="+mn-lt"/>
            <a:ea typeface="+mn-ea"/>
            <a:cs typeface="+mn-cs"/>
          </a:endParaRPr>
        </a:p>
        <a:p>
          <a:r>
            <a:rPr lang="en-US" sz="1100" b="0" i="0" u="none" strike="noStrike">
              <a:solidFill>
                <a:schemeClr val="dk1"/>
              </a:solidFill>
              <a:effectLst/>
              <a:latin typeface="+mn-lt"/>
              <a:ea typeface="+mn-ea"/>
              <a:cs typeface="+mn-cs"/>
            </a:rPr>
            <a:t>          -</a:t>
          </a:r>
          <a:r>
            <a:rPr lang="en-US" sz="1100" b="0" i="0">
              <a:solidFill>
                <a:schemeClr val="dk1"/>
              </a:solidFill>
              <a:effectLst/>
              <a:latin typeface="+mn-lt"/>
              <a:ea typeface="+mn-ea"/>
              <a:cs typeface="+mn-cs"/>
            </a:rPr>
            <a:t> </a:t>
          </a:r>
          <a:r>
            <a:rPr lang="en-US" sz="1100" b="0" i="0" u="none" strike="noStrike">
              <a:solidFill>
                <a:schemeClr val="dk1"/>
              </a:solidFill>
              <a:effectLst/>
              <a:latin typeface="+mn-lt"/>
              <a:ea typeface="+mn-ea"/>
              <a:cs typeface="+mn-cs"/>
            </a:rPr>
            <a:t>If born on or before January 1, 1954, eligible for both benefits in the month benefits begin, </a:t>
          </a:r>
          <a:r>
            <a:rPr lang="en-US" sz="1100" b="1" i="0" u="none" strike="noStrike">
              <a:solidFill>
                <a:schemeClr val="dk1"/>
              </a:solidFill>
              <a:effectLst/>
              <a:latin typeface="+mn-lt"/>
              <a:ea typeface="+mn-ea"/>
              <a:cs typeface="+mn-cs"/>
            </a:rPr>
            <a:t>and </a:t>
          </a:r>
          <a:r>
            <a:rPr lang="en-US" sz="1100" b="0" i="0" u="none" strike="noStrike">
              <a:solidFill>
                <a:schemeClr val="dk1"/>
              </a:solidFill>
              <a:effectLst/>
              <a:latin typeface="+mn-lt"/>
              <a:ea typeface="+mn-ea"/>
              <a:cs typeface="+mn-cs"/>
            </a:rPr>
            <a:t>filed for benefits before reaching full retirement</a:t>
          </a:r>
          <a:r>
            <a:rPr lang="en-US" sz="1100" b="0" i="0" u="none" strike="noStrike" baseline="0">
              <a:solidFill>
                <a:schemeClr val="dk1"/>
              </a:solidFill>
              <a:effectLst/>
              <a:latin typeface="+mn-lt"/>
              <a:ea typeface="+mn-ea"/>
              <a:cs typeface="+mn-cs"/>
            </a:rPr>
            <a:t> </a:t>
          </a:r>
          <a:r>
            <a:rPr lang="en-US" sz="1100" b="0" i="0" u="none" strike="noStrike">
              <a:solidFill>
                <a:schemeClr val="dk1"/>
              </a:solidFill>
              <a:effectLst/>
              <a:latin typeface="+mn-lt"/>
              <a:ea typeface="+mn-ea"/>
              <a:cs typeface="+mn-cs"/>
            </a:rPr>
            <a:t>age; or</a:t>
          </a:r>
        </a:p>
        <a:p>
          <a:r>
            <a:rPr lang="en-US" sz="1100" b="0" i="0" u="none" strike="noStrike">
              <a:solidFill>
                <a:schemeClr val="dk1"/>
              </a:solidFill>
              <a:effectLst/>
              <a:latin typeface="+mn-lt"/>
              <a:ea typeface="+mn-ea"/>
              <a:cs typeface="+mn-cs"/>
            </a:rPr>
            <a:t>          - If born after January 1, 1954</a:t>
          </a:r>
          <a:r>
            <a:rPr lang="en-US" sz="1100" b="0" i="0" u="none" strike="noStrike" baseline="0">
              <a:solidFill>
                <a:schemeClr val="dk1"/>
              </a:solidFill>
              <a:effectLst/>
              <a:latin typeface="+mn-lt"/>
              <a:ea typeface="+mn-ea"/>
              <a:cs typeface="+mn-cs"/>
            </a:rPr>
            <a:t> and e</a:t>
          </a:r>
          <a:r>
            <a:rPr lang="en-US" sz="1100" b="0" i="0" u="none" strike="noStrike">
              <a:solidFill>
                <a:schemeClr val="dk1"/>
              </a:solidFill>
              <a:effectLst/>
              <a:latin typeface="+mn-lt"/>
              <a:ea typeface="+mn-ea"/>
              <a:cs typeface="+mn-cs"/>
            </a:rPr>
            <a:t>ligible for both benefits in the month benefits begin</a:t>
          </a:r>
          <a:r>
            <a:rPr lang="en-US"/>
            <a:t> </a:t>
          </a:r>
        </a:p>
        <a:p>
          <a:endParaRPr lang="en-US" sz="1100" b="1" i="0" u="none" strike="noStrike">
            <a:solidFill>
              <a:schemeClr val="dk1"/>
            </a:solidFill>
            <a:effectLst/>
            <a:latin typeface="+mn-lt"/>
            <a:ea typeface="+mn-ea"/>
            <a:cs typeface="+mn-cs"/>
          </a:endParaRPr>
        </a:p>
        <a:p>
          <a:r>
            <a:rPr lang="en-US" sz="1100" b="0" i="0">
              <a:solidFill>
                <a:schemeClr val="dk1"/>
              </a:solidFill>
              <a:effectLst/>
              <a:latin typeface="+mn-lt"/>
              <a:ea typeface="+mn-ea"/>
              <a:cs typeface="+mn-cs"/>
            </a:rPr>
            <a:t>∙ Individuals</a:t>
          </a:r>
          <a:r>
            <a:rPr lang="en-US" sz="1100" b="0" i="0" baseline="0">
              <a:solidFill>
                <a:schemeClr val="dk1"/>
              </a:solidFill>
              <a:effectLst/>
              <a:latin typeface="+mn-lt"/>
              <a:ea typeface="+mn-ea"/>
              <a:cs typeface="+mn-cs"/>
            </a:rPr>
            <a:t> who file for benefits after reaching Full Retirement Age may be entitled to retroactive benefits - ensure the "Months Of Eligibility In 2024" field accurately captures any retroactive benefits that the recipient may be entitled to.</a:t>
          </a:r>
        </a:p>
        <a:p>
          <a:endParaRPr lang="en-US" sz="1100" b="1" i="0" u="none" strike="noStrike" kern="0">
            <a:solidFill>
              <a:schemeClr val="dk1"/>
            </a:solidFill>
            <a:effectLst/>
            <a:latin typeface="+mn-lt"/>
            <a:ea typeface="+mn-ea"/>
            <a:cs typeface="+mn-cs"/>
          </a:endParaRPr>
        </a:p>
        <a:p>
          <a:r>
            <a:rPr lang="en-US" sz="1100" b="1" i="0" u="none" strike="noStrike" kern="0">
              <a:solidFill>
                <a:schemeClr val="dk1"/>
              </a:solidFill>
              <a:effectLst/>
              <a:latin typeface="+mn-lt"/>
              <a:ea typeface="+mn-ea"/>
              <a:cs typeface="+mn-cs"/>
            </a:rPr>
            <a:t>For</a:t>
          </a:r>
          <a:r>
            <a:rPr lang="en-US" sz="1100" b="1" i="0" u="none" strike="noStrike" kern="0" baseline="0">
              <a:solidFill>
                <a:schemeClr val="dk1"/>
              </a:solidFill>
              <a:effectLst/>
              <a:latin typeface="+mn-lt"/>
              <a:ea typeface="+mn-ea"/>
              <a:cs typeface="+mn-cs"/>
            </a:rPr>
            <a:t> planning and informatonal purposes only - actual benefits may vary from what is shown here</a:t>
          </a:r>
          <a:endParaRPr lang="en-US" sz="1100" kern="12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15</xdr:row>
      <xdr:rowOff>0</xdr:rowOff>
    </xdr:from>
    <xdr:to>
      <xdr:col>8</xdr:col>
      <xdr:colOff>952499</xdr:colOff>
      <xdr:row>27</xdr:row>
      <xdr:rowOff>38100</xdr:rowOff>
    </xdr:to>
    <xdr:sp macro="" textlink="">
      <xdr:nvSpPr>
        <xdr:cNvPr id="2" name="TextBox 1">
          <a:extLst>
            <a:ext uri="{FF2B5EF4-FFF2-40B4-BE49-F238E27FC236}">
              <a16:creationId xmlns:a16="http://schemas.microsoft.com/office/drawing/2014/main" id="{5A3141F5-ADA5-4EB0-9901-2EAC45601D4F}"/>
            </a:ext>
          </a:extLst>
        </xdr:cNvPr>
        <xdr:cNvSpPr txBox="1"/>
      </xdr:nvSpPr>
      <xdr:spPr>
        <a:xfrm>
          <a:off x="0" y="3028950"/>
          <a:ext cx="10601324" cy="23241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0" u="none" strike="noStrike">
              <a:solidFill>
                <a:schemeClr val="dk1"/>
              </a:solidFill>
              <a:effectLst/>
              <a:latin typeface="+mn-lt"/>
              <a:ea typeface="+mn-ea"/>
              <a:cs typeface="+mn-cs"/>
            </a:rPr>
            <a:t>Notes:</a:t>
          </a:r>
          <a:r>
            <a:rPr lang="en-US"/>
            <a:t> </a:t>
          </a:r>
        </a:p>
        <a:p>
          <a:r>
            <a:rPr lang="en-US" sz="1100" b="0" i="0" u="none" strike="noStrike">
              <a:solidFill>
                <a:schemeClr val="dk1"/>
              </a:solidFill>
              <a:effectLst/>
              <a:latin typeface="+mn-lt"/>
              <a:ea typeface="+mn-ea"/>
              <a:cs typeface="+mn-cs"/>
            </a:rPr>
            <a:t>∙ For use only with people with people who have already filed for benefits</a:t>
          </a:r>
          <a:r>
            <a:rPr lang="en-US"/>
            <a:t> - if benefits have not been</a:t>
          </a:r>
          <a:r>
            <a:rPr lang="en-US" baseline="0"/>
            <a:t> claimed, use the annual Social Security statement or Social Security's Quick Calculator (https://www.ssa.gov/OACT/quickcalc/index.html) to estimate future benefits.</a:t>
          </a:r>
        </a:p>
        <a:p>
          <a:r>
            <a:rPr lang="en-US" sz="1100" b="0" i="0">
              <a:solidFill>
                <a:schemeClr val="dk1"/>
              </a:solidFill>
              <a:effectLst/>
              <a:latin typeface="+mn-lt"/>
              <a:ea typeface="+mn-ea"/>
              <a:cs typeface="+mn-cs"/>
            </a:rPr>
            <a:t>∙ Widow(er)s</a:t>
          </a:r>
          <a:r>
            <a:rPr lang="en-US" sz="1100" b="0" i="0" baseline="0">
              <a:solidFill>
                <a:schemeClr val="dk1"/>
              </a:solidFill>
              <a:effectLst/>
              <a:latin typeface="+mn-lt"/>
              <a:ea typeface="+mn-ea"/>
              <a:cs typeface="+mn-cs"/>
            </a:rPr>
            <a:t> who are also</a:t>
          </a:r>
          <a:r>
            <a:rPr lang="en-US" sz="1100" b="0" i="0">
              <a:solidFill>
                <a:schemeClr val="dk1"/>
              </a:solidFill>
              <a:effectLst/>
              <a:latin typeface="+mn-lt"/>
              <a:ea typeface="+mn-ea"/>
              <a:cs typeface="+mn-cs"/>
            </a:rPr>
            <a:t> receiving</a:t>
          </a:r>
          <a:r>
            <a:rPr lang="en-US" sz="1100" b="0" i="0" baseline="0">
              <a:solidFill>
                <a:schemeClr val="dk1"/>
              </a:solidFill>
              <a:effectLst/>
              <a:latin typeface="+mn-lt"/>
              <a:ea typeface="+mn-ea"/>
              <a:cs typeface="+mn-cs"/>
            </a:rPr>
            <a:t> their own Social Security retirement benefits under their own name will receive the higher of their own retirement benefit or the survivor benefit. Retirement benefit recipients subject to WEP should use the Single Calculator to calculate their non-WEP-reduced retirement benefits.</a:t>
          </a:r>
          <a:endParaRPr lang="en-US"/>
        </a:p>
        <a:p>
          <a:r>
            <a:rPr lang="en-US" sz="1100" b="0" i="0">
              <a:solidFill>
                <a:schemeClr val="dk1"/>
              </a:solidFill>
              <a:effectLst/>
              <a:latin typeface="+mn-lt"/>
              <a:ea typeface="+mn-ea"/>
              <a:cs typeface="+mn-cs"/>
            </a:rPr>
            <a:t>∙ </a:t>
          </a:r>
          <a:r>
            <a:rPr lang="en-US" sz="1100" b="0" i="0" u="none" strike="noStrike">
              <a:solidFill>
                <a:schemeClr val="dk1"/>
              </a:solidFill>
              <a:effectLst/>
              <a:latin typeface="+mn-lt"/>
              <a:ea typeface="+mn-ea"/>
              <a:cs typeface="+mn-cs"/>
            </a:rPr>
            <a:t>Does not include SSDI, SSI or Children's benefits</a:t>
          </a:r>
          <a:r>
            <a:rPr lang="en-US"/>
            <a:t> </a:t>
          </a:r>
        </a:p>
        <a:p>
          <a:r>
            <a:rPr lang="en-US" sz="1100" b="0" i="0">
              <a:solidFill>
                <a:schemeClr val="dk1"/>
              </a:solidFill>
              <a:effectLst/>
              <a:latin typeface="+mn-lt"/>
              <a:ea typeface="+mn-ea"/>
              <a:cs typeface="+mn-cs"/>
            </a:rPr>
            <a:t>∙ </a:t>
          </a:r>
          <a:r>
            <a:rPr lang="en-US" sz="1100" b="0" i="0" u="none" strike="noStrike">
              <a:solidFill>
                <a:schemeClr val="dk1"/>
              </a:solidFill>
              <a:effectLst/>
              <a:latin typeface="+mn-lt"/>
              <a:ea typeface="+mn-ea"/>
              <a:cs typeface="+mn-cs"/>
            </a:rPr>
            <a:t>Does not incorporate SSA rounding rules</a:t>
          </a:r>
          <a:r>
            <a:rPr lang="en-US"/>
            <a:t> </a:t>
          </a:r>
        </a:p>
        <a:p>
          <a:r>
            <a:rPr lang="en-US" sz="1100" b="0" i="0">
              <a:solidFill>
                <a:schemeClr val="dk1"/>
              </a:solidFill>
              <a:effectLst/>
              <a:latin typeface="+mn-lt"/>
              <a:ea typeface="+mn-ea"/>
              <a:cs typeface="+mn-cs"/>
            </a:rPr>
            <a:t>∙ </a:t>
          </a:r>
          <a:r>
            <a:rPr lang="en-US" sz="1100" b="0" i="0" u="none" strike="noStrike">
              <a:solidFill>
                <a:schemeClr val="dk1"/>
              </a:solidFill>
              <a:effectLst/>
              <a:latin typeface="+mn-lt"/>
              <a:ea typeface="+mn-ea"/>
              <a:cs typeface="+mn-cs"/>
            </a:rPr>
            <a:t>People born on January 1 should use the prior year for the year of birth</a:t>
          </a:r>
          <a:r>
            <a:rPr lang="en-US"/>
            <a:t> </a:t>
          </a:r>
        </a:p>
        <a:p>
          <a:r>
            <a:rPr lang="en-US" sz="1100" b="0" i="0">
              <a:solidFill>
                <a:schemeClr val="dk1"/>
              </a:solidFill>
              <a:effectLst/>
              <a:latin typeface="+mn-lt"/>
              <a:ea typeface="+mn-ea"/>
              <a:cs typeface="+mn-cs"/>
            </a:rPr>
            <a:t>∙ Individuals</a:t>
          </a:r>
          <a:r>
            <a:rPr lang="en-US" sz="1100" b="0" i="0" baseline="0">
              <a:solidFill>
                <a:schemeClr val="dk1"/>
              </a:solidFill>
              <a:effectLst/>
              <a:latin typeface="+mn-lt"/>
              <a:ea typeface="+mn-ea"/>
              <a:cs typeface="+mn-cs"/>
            </a:rPr>
            <a:t> who file for benefits after reaching Full Retirement Age may be entitled to retroactive benefits for up to 6 months before filing - ensure the</a:t>
          </a:r>
        </a:p>
        <a:p>
          <a:r>
            <a:rPr lang="en-US" sz="1100" b="0" i="0" baseline="0">
              <a:solidFill>
                <a:schemeClr val="dk1"/>
              </a:solidFill>
              <a:effectLst/>
              <a:latin typeface="+mn-lt"/>
              <a:ea typeface="+mn-ea"/>
              <a:cs typeface="+mn-cs"/>
            </a:rPr>
            <a:t>   "Months Of Eligibility In 2024" field accurately captures any retroactive benefits that the recipient may be entitled to</a:t>
          </a:r>
        </a:p>
        <a:p>
          <a:endParaRPr lang="en-US" sz="1100" b="1" i="0" u="none" strike="noStrike" kern="0">
            <a:solidFill>
              <a:schemeClr val="dk1"/>
            </a:solidFill>
            <a:effectLst/>
            <a:latin typeface="+mn-lt"/>
            <a:ea typeface="+mn-ea"/>
            <a:cs typeface="+mn-cs"/>
          </a:endParaRPr>
        </a:p>
        <a:p>
          <a:r>
            <a:rPr lang="en-US" sz="1100" b="1" i="0" u="none" strike="noStrike" kern="0">
              <a:solidFill>
                <a:schemeClr val="dk1"/>
              </a:solidFill>
              <a:effectLst/>
              <a:latin typeface="+mn-lt"/>
              <a:ea typeface="+mn-ea"/>
              <a:cs typeface="+mn-cs"/>
            </a:rPr>
            <a:t>For</a:t>
          </a:r>
          <a:r>
            <a:rPr lang="en-US" sz="1100" b="1" i="0" u="none" strike="noStrike" kern="0" baseline="0">
              <a:solidFill>
                <a:schemeClr val="dk1"/>
              </a:solidFill>
              <a:effectLst/>
              <a:latin typeface="+mn-lt"/>
              <a:ea typeface="+mn-ea"/>
              <a:cs typeface="+mn-cs"/>
            </a:rPr>
            <a:t> planning and informatonal purposes only - actual benefits may vary from what is shown here</a:t>
          </a:r>
          <a:endParaRPr lang="en-US" sz="1100" kern="12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84</xdr:row>
      <xdr:rowOff>1</xdr:rowOff>
    </xdr:from>
    <xdr:to>
      <xdr:col>10</xdr:col>
      <xdr:colOff>38099</xdr:colOff>
      <xdr:row>98</xdr:row>
      <xdr:rowOff>152401</xdr:rowOff>
    </xdr:to>
    <xdr:sp macro="" textlink="">
      <xdr:nvSpPr>
        <xdr:cNvPr id="2" name="TextBox 1">
          <a:extLst>
            <a:ext uri="{FF2B5EF4-FFF2-40B4-BE49-F238E27FC236}">
              <a16:creationId xmlns:a16="http://schemas.microsoft.com/office/drawing/2014/main" id="{18A669D9-CB4F-4929-98DF-097625C565AF}"/>
            </a:ext>
          </a:extLst>
        </xdr:cNvPr>
        <xdr:cNvSpPr txBox="1"/>
      </xdr:nvSpPr>
      <xdr:spPr>
        <a:xfrm>
          <a:off x="0" y="16211551"/>
          <a:ext cx="9572624" cy="2838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0" u="none" strike="noStrike">
              <a:solidFill>
                <a:schemeClr val="dk1"/>
              </a:solidFill>
              <a:effectLst/>
              <a:latin typeface="+mn-lt"/>
              <a:ea typeface="+mn-ea"/>
              <a:cs typeface="+mn-cs"/>
            </a:rPr>
            <a:t>Notes:</a:t>
          </a:r>
          <a:r>
            <a:rPr lang="en-US"/>
            <a:t> </a:t>
          </a:r>
        </a:p>
        <a:p>
          <a:r>
            <a:rPr lang="en-US" sz="1100" b="0" i="0" u="none" strike="noStrike">
              <a:solidFill>
                <a:schemeClr val="dk1"/>
              </a:solidFill>
              <a:effectLst/>
              <a:latin typeface="+mn-lt"/>
              <a:ea typeface="+mn-ea"/>
              <a:cs typeface="+mn-cs"/>
            </a:rPr>
            <a:t>∙ For use only with people with people who have already filed for benefits</a:t>
          </a:r>
          <a:r>
            <a:rPr lang="en-US"/>
            <a:t> - if benefits have not been</a:t>
          </a:r>
          <a:r>
            <a:rPr lang="en-US" baseline="0"/>
            <a:t> claimed, use the annual Social Security statement or Social Security's Quick Calculator (https://www.ssa.gov/OACT/quickcalc/index.html) to estimate future benefits.</a:t>
          </a:r>
          <a:endParaRPr lang="en-US"/>
        </a:p>
        <a:p>
          <a:r>
            <a:rPr lang="en-US" sz="1100" b="0" i="0">
              <a:solidFill>
                <a:schemeClr val="dk1"/>
              </a:solidFill>
              <a:effectLst/>
              <a:latin typeface="+mn-lt"/>
              <a:ea typeface="+mn-ea"/>
              <a:cs typeface="+mn-cs"/>
            </a:rPr>
            <a:t>∙ </a:t>
          </a:r>
          <a:r>
            <a:rPr lang="en-US" sz="1100" b="0" i="0" u="none" strike="noStrike">
              <a:solidFill>
                <a:schemeClr val="dk1"/>
              </a:solidFill>
              <a:effectLst/>
              <a:latin typeface="+mn-lt"/>
              <a:ea typeface="+mn-ea"/>
              <a:cs typeface="+mn-cs"/>
            </a:rPr>
            <a:t>Does not include SSDI, SSI or Children's benefits</a:t>
          </a:r>
          <a:r>
            <a:rPr lang="en-US"/>
            <a:t> </a:t>
          </a:r>
        </a:p>
        <a:p>
          <a:r>
            <a:rPr lang="en-US" sz="1100" b="0" i="0">
              <a:solidFill>
                <a:schemeClr val="dk1"/>
              </a:solidFill>
              <a:effectLst/>
              <a:latin typeface="+mn-lt"/>
              <a:ea typeface="+mn-ea"/>
              <a:cs typeface="+mn-cs"/>
            </a:rPr>
            <a:t>∙ </a:t>
          </a:r>
          <a:r>
            <a:rPr lang="en-US" sz="1100" b="0" i="0" u="none" strike="noStrike">
              <a:solidFill>
                <a:schemeClr val="dk1"/>
              </a:solidFill>
              <a:effectLst/>
              <a:latin typeface="+mn-lt"/>
              <a:ea typeface="+mn-ea"/>
              <a:cs typeface="+mn-cs"/>
            </a:rPr>
            <a:t>Does not incorporate SSA rounding rules</a:t>
          </a:r>
          <a:r>
            <a:rPr lang="en-US"/>
            <a:t> </a:t>
          </a:r>
        </a:p>
        <a:p>
          <a:r>
            <a:rPr lang="en-US" sz="1100" b="0" i="0">
              <a:solidFill>
                <a:schemeClr val="dk1"/>
              </a:solidFill>
              <a:effectLst/>
              <a:latin typeface="+mn-lt"/>
              <a:ea typeface="+mn-ea"/>
              <a:cs typeface="+mn-cs"/>
            </a:rPr>
            <a:t>∙ </a:t>
          </a:r>
          <a:r>
            <a:rPr lang="en-US" sz="1100" b="0" i="0" u="none" strike="noStrike">
              <a:solidFill>
                <a:schemeClr val="dk1"/>
              </a:solidFill>
              <a:effectLst/>
              <a:latin typeface="+mn-lt"/>
              <a:ea typeface="+mn-ea"/>
              <a:cs typeface="+mn-cs"/>
            </a:rPr>
            <a:t>People born on January 1 should use the prior year for the year of birth</a:t>
          </a:r>
          <a:r>
            <a:rPr lang="en-US"/>
            <a:t> </a:t>
          </a:r>
        </a:p>
        <a:p>
          <a:r>
            <a:rPr lang="en-US" sz="1100" b="0" i="0">
              <a:solidFill>
                <a:schemeClr val="dk1"/>
              </a:solidFill>
              <a:effectLst/>
              <a:latin typeface="+mn-lt"/>
              <a:ea typeface="+mn-ea"/>
              <a:cs typeface="+mn-cs"/>
            </a:rPr>
            <a:t>∙ </a:t>
          </a:r>
          <a:r>
            <a:rPr lang="en-US" sz="1100" b="0" i="0" u="none" strike="noStrike">
              <a:solidFill>
                <a:schemeClr val="dk1"/>
              </a:solidFill>
              <a:effectLst/>
              <a:latin typeface="+mn-lt"/>
              <a:ea typeface="+mn-ea"/>
              <a:cs typeface="+mn-cs"/>
            </a:rPr>
            <a:t>Social Security recipients who are eligible for both their own retirement benefits and spousal benefits are deemed to have filed for both benefits at the same time (and will therefore have the same age of election for both benefits) in the following cases:</a:t>
          </a:r>
          <a:br>
            <a:rPr lang="en-US" sz="1100" b="0" i="0" u="none" strike="noStrike">
              <a:solidFill>
                <a:schemeClr val="dk1"/>
              </a:solidFill>
              <a:effectLst/>
              <a:latin typeface="+mn-lt"/>
              <a:ea typeface="+mn-ea"/>
              <a:cs typeface="+mn-cs"/>
            </a:rPr>
          </a:br>
          <a:endParaRPr lang="en-US" sz="1100" b="0" i="0" u="none" strike="noStrike">
            <a:solidFill>
              <a:schemeClr val="dk1"/>
            </a:solidFill>
            <a:effectLst/>
            <a:latin typeface="+mn-lt"/>
            <a:ea typeface="+mn-ea"/>
            <a:cs typeface="+mn-cs"/>
          </a:endParaRPr>
        </a:p>
        <a:p>
          <a:r>
            <a:rPr lang="en-US" sz="1100" b="0" i="0" u="none" strike="noStrike">
              <a:solidFill>
                <a:schemeClr val="dk1"/>
              </a:solidFill>
              <a:effectLst/>
              <a:latin typeface="+mn-lt"/>
              <a:ea typeface="+mn-ea"/>
              <a:cs typeface="+mn-cs"/>
            </a:rPr>
            <a:t>          -</a:t>
          </a:r>
          <a:r>
            <a:rPr lang="en-US" sz="1100" b="0" i="0">
              <a:solidFill>
                <a:schemeClr val="dk1"/>
              </a:solidFill>
              <a:effectLst/>
              <a:latin typeface="+mn-lt"/>
              <a:ea typeface="+mn-ea"/>
              <a:cs typeface="+mn-cs"/>
            </a:rPr>
            <a:t> </a:t>
          </a:r>
          <a:r>
            <a:rPr lang="en-US" sz="1100" b="0" i="0" u="none" strike="noStrike">
              <a:solidFill>
                <a:schemeClr val="dk1"/>
              </a:solidFill>
              <a:effectLst/>
              <a:latin typeface="+mn-lt"/>
              <a:ea typeface="+mn-ea"/>
              <a:cs typeface="+mn-cs"/>
            </a:rPr>
            <a:t>If born on or before January 1, 1954, eligible for both benefits in the month benefits begin, </a:t>
          </a:r>
          <a:r>
            <a:rPr lang="en-US" sz="1100" b="1" i="0" u="none" strike="noStrike">
              <a:solidFill>
                <a:schemeClr val="dk1"/>
              </a:solidFill>
              <a:effectLst/>
              <a:latin typeface="+mn-lt"/>
              <a:ea typeface="+mn-ea"/>
              <a:cs typeface="+mn-cs"/>
            </a:rPr>
            <a:t>and </a:t>
          </a:r>
          <a:r>
            <a:rPr lang="en-US" sz="1100" b="0" i="0" u="none" strike="noStrike">
              <a:solidFill>
                <a:schemeClr val="dk1"/>
              </a:solidFill>
              <a:effectLst/>
              <a:latin typeface="+mn-lt"/>
              <a:ea typeface="+mn-ea"/>
              <a:cs typeface="+mn-cs"/>
            </a:rPr>
            <a:t>filed for benefits before reaching full retirement</a:t>
          </a:r>
          <a:r>
            <a:rPr lang="en-US" sz="1100" b="0" i="0" u="none" strike="noStrike" baseline="0">
              <a:solidFill>
                <a:schemeClr val="dk1"/>
              </a:solidFill>
              <a:effectLst/>
              <a:latin typeface="+mn-lt"/>
              <a:ea typeface="+mn-ea"/>
              <a:cs typeface="+mn-cs"/>
            </a:rPr>
            <a:t> </a:t>
          </a:r>
          <a:r>
            <a:rPr lang="en-US" sz="1100" b="0" i="0" u="none" strike="noStrike">
              <a:solidFill>
                <a:schemeClr val="dk1"/>
              </a:solidFill>
              <a:effectLst/>
              <a:latin typeface="+mn-lt"/>
              <a:ea typeface="+mn-ea"/>
              <a:cs typeface="+mn-cs"/>
            </a:rPr>
            <a:t>age; or</a:t>
          </a:r>
        </a:p>
        <a:p>
          <a:r>
            <a:rPr lang="en-US" sz="1100" b="0" i="0" u="none" strike="noStrike">
              <a:solidFill>
                <a:schemeClr val="dk1"/>
              </a:solidFill>
              <a:effectLst/>
              <a:latin typeface="+mn-lt"/>
              <a:ea typeface="+mn-ea"/>
              <a:cs typeface="+mn-cs"/>
            </a:rPr>
            <a:t>          - If born after January 1, 1954</a:t>
          </a:r>
          <a:r>
            <a:rPr lang="en-US" sz="1100" b="0" i="0" u="none" strike="noStrike" baseline="0">
              <a:solidFill>
                <a:schemeClr val="dk1"/>
              </a:solidFill>
              <a:effectLst/>
              <a:latin typeface="+mn-lt"/>
              <a:ea typeface="+mn-ea"/>
              <a:cs typeface="+mn-cs"/>
            </a:rPr>
            <a:t> and e</a:t>
          </a:r>
          <a:r>
            <a:rPr lang="en-US" sz="1100" b="0" i="0" u="none" strike="noStrike">
              <a:solidFill>
                <a:schemeClr val="dk1"/>
              </a:solidFill>
              <a:effectLst/>
              <a:latin typeface="+mn-lt"/>
              <a:ea typeface="+mn-ea"/>
              <a:cs typeface="+mn-cs"/>
            </a:rPr>
            <a:t>ligible for both benefits in the month benefits begin</a:t>
          </a:r>
          <a:r>
            <a:rPr lang="en-US"/>
            <a:t> </a:t>
          </a:r>
        </a:p>
        <a:p>
          <a:endParaRPr lang="en-US" sz="1100" b="1" i="0" u="none" strike="noStrike">
            <a:solidFill>
              <a:schemeClr val="dk1"/>
            </a:solidFill>
            <a:effectLst/>
            <a:latin typeface="+mn-lt"/>
            <a:ea typeface="+mn-ea"/>
            <a:cs typeface="+mn-cs"/>
          </a:endParaRPr>
        </a:p>
        <a:p>
          <a:r>
            <a:rPr lang="en-US" sz="1100" b="0" i="0">
              <a:solidFill>
                <a:schemeClr val="dk1"/>
              </a:solidFill>
              <a:effectLst/>
              <a:latin typeface="+mn-lt"/>
              <a:ea typeface="+mn-ea"/>
              <a:cs typeface="+mn-cs"/>
            </a:rPr>
            <a:t>∙ Individuals</a:t>
          </a:r>
          <a:r>
            <a:rPr lang="en-US" sz="1100" b="0" i="0" baseline="0">
              <a:solidFill>
                <a:schemeClr val="dk1"/>
              </a:solidFill>
              <a:effectLst/>
              <a:latin typeface="+mn-lt"/>
              <a:ea typeface="+mn-ea"/>
              <a:cs typeface="+mn-cs"/>
            </a:rPr>
            <a:t> who file for benefits after reaching Full Retirement Age may be entitled to retroactive benefits - ensure the "Months Of Eligibility In 2024" field accurately captures any retroactive benefits that the recipient may be entitled to.</a:t>
          </a:r>
        </a:p>
        <a:p>
          <a:endParaRPr lang="en-US" sz="1100" b="1" i="0" u="none" strike="noStrike" kern="0">
            <a:solidFill>
              <a:schemeClr val="dk1"/>
            </a:solidFill>
            <a:effectLst/>
            <a:latin typeface="+mn-lt"/>
            <a:ea typeface="+mn-ea"/>
            <a:cs typeface="+mn-cs"/>
          </a:endParaRPr>
        </a:p>
        <a:p>
          <a:r>
            <a:rPr lang="en-US" sz="1100" b="1" i="0" u="none" strike="noStrike" kern="0">
              <a:solidFill>
                <a:schemeClr val="dk1"/>
              </a:solidFill>
              <a:effectLst/>
              <a:latin typeface="+mn-lt"/>
              <a:ea typeface="+mn-ea"/>
              <a:cs typeface="+mn-cs"/>
            </a:rPr>
            <a:t>For</a:t>
          </a:r>
          <a:r>
            <a:rPr lang="en-US" sz="1100" b="1" i="0" u="none" strike="noStrike" kern="0" baseline="0">
              <a:solidFill>
                <a:schemeClr val="dk1"/>
              </a:solidFill>
              <a:effectLst/>
              <a:latin typeface="+mn-lt"/>
              <a:ea typeface="+mn-ea"/>
              <a:cs typeface="+mn-cs"/>
            </a:rPr>
            <a:t> planning and informatonal purposes only - actual benefits may vary from what is shown here</a:t>
          </a:r>
          <a:endParaRPr lang="en-US" sz="1100" kern="12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BB05B0-4E3A-4D76-9E65-7BC7BA79371A}">
  <sheetPr>
    <pageSetUpPr fitToPage="1"/>
  </sheetPr>
  <dimension ref="A1:I54"/>
  <sheetViews>
    <sheetView tabSelected="1" workbookViewId="0">
      <selection activeCell="J8" sqref="J8"/>
    </sheetView>
  </sheetViews>
  <sheetFormatPr defaultColWidth="8.85546875" defaultRowHeight="15" x14ac:dyDescent="0.25"/>
  <cols>
    <col min="1" max="1" width="36.42578125" style="22" customWidth="1"/>
    <col min="2" max="2" width="10" style="22" bestFit="1" customWidth="1"/>
    <col min="3" max="3" width="12.28515625" style="22" customWidth="1"/>
    <col min="4" max="4" width="2.85546875" style="22" customWidth="1"/>
    <col min="5" max="5" width="43.85546875" style="22" customWidth="1"/>
    <col min="6" max="6" width="16.85546875" style="22" customWidth="1"/>
    <col min="7" max="7" width="3.42578125" style="22" customWidth="1"/>
    <col min="8" max="8" width="30.42578125" style="22" bestFit="1" customWidth="1"/>
    <col min="9" max="9" width="14.42578125" style="22" bestFit="1" customWidth="1"/>
    <col min="10" max="10" width="8.85546875" style="22"/>
    <col min="11" max="11" width="10" style="22" bestFit="1" customWidth="1"/>
    <col min="12" max="16384" width="8.85546875" style="22"/>
  </cols>
  <sheetData>
    <row r="1" spans="1:9" ht="24.75" thickBot="1" x14ac:dyDescent="0.5">
      <c r="A1" s="73" t="s">
        <v>0</v>
      </c>
      <c r="B1"/>
      <c r="C1"/>
      <c r="D1"/>
      <c r="E1" s="73" t="s">
        <v>1</v>
      </c>
      <c r="F1"/>
      <c r="G1"/>
      <c r="H1" s="73" t="s">
        <v>2</v>
      </c>
      <c r="I1"/>
    </row>
    <row r="2" spans="1:9" ht="18.75" x14ac:dyDescent="0.3">
      <c r="A2" s="56" t="s">
        <v>3</v>
      </c>
      <c r="B2" s="74"/>
      <c r="C2" s="75"/>
      <c r="D2"/>
      <c r="E2" s="56" t="s">
        <v>4</v>
      </c>
      <c r="F2" s="76"/>
      <c r="G2"/>
      <c r="H2" s="77" t="s">
        <v>5</v>
      </c>
      <c r="I2" s="78"/>
    </row>
    <row r="3" spans="1:9" x14ac:dyDescent="0.25">
      <c r="A3" s="52" t="s">
        <v>6</v>
      </c>
      <c r="B3" s="23">
        <v>1948</v>
      </c>
      <c r="C3" s="71"/>
      <c r="D3"/>
      <c r="E3" s="58" t="s">
        <v>7</v>
      </c>
      <c r="F3" s="62">
        <f>B7</f>
        <v>1025</v>
      </c>
      <c r="G3"/>
      <c r="H3" s="34" t="s">
        <v>8</v>
      </c>
      <c r="I3" s="36">
        <f>IF(B3&lt;1938,65,IF(B3&gt;1959,67,VLOOKUP(B3,'Data Tables'!A1:B23,2, FALSE)))</f>
        <v>66</v>
      </c>
    </row>
    <row r="4" spans="1:9" x14ac:dyDescent="0.25">
      <c r="A4" s="59"/>
      <c r="B4" s="70" t="s">
        <v>9</v>
      </c>
      <c r="C4" s="71" t="s">
        <v>10</v>
      </c>
      <c r="D4"/>
      <c r="E4" s="58" t="s">
        <v>11</v>
      </c>
      <c r="F4" s="72">
        <f>I21</f>
        <v>647.98543603557039</v>
      </c>
      <c r="G4"/>
      <c r="H4" s="34" t="s">
        <v>12</v>
      </c>
      <c r="I4" s="36">
        <f>MAX(I3*12-B5*12-C5,0)</f>
        <v>0</v>
      </c>
    </row>
    <row r="5" spans="1:9" x14ac:dyDescent="0.25">
      <c r="A5" s="58" t="s">
        <v>13</v>
      </c>
      <c r="B5" s="24">
        <v>70</v>
      </c>
      <c r="C5" s="25">
        <v>0</v>
      </c>
      <c r="D5"/>
      <c r="E5" s="52" t="s">
        <v>14</v>
      </c>
      <c r="F5" s="53">
        <f>I27</f>
        <v>0</v>
      </c>
      <c r="G5"/>
      <c r="H5" s="34" t="s">
        <v>15</v>
      </c>
      <c r="I5" s="36">
        <f>1-IF(I4&lt;36, 5/9*I4,20+(I4-36)*5/12)/100</f>
        <v>1</v>
      </c>
    </row>
    <row r="6" spans="1:9" ht="15.75" thickBot="1" x14ac:dyDescent="0.3">
      <c r="A6" s="50" t="s">
        <v>16</v>
      </c>
      <c r="B6" s="26">
        <v>70</v>
      </c>
      <c r="C6" s="27">
        <v>0</v>
      </c>
      <c r="D6"/>
      <c r="E6" s="52" t="s">
        <v>17</v>
      </c>
      <c r="F6" s="53">
        <f>F4+F5</f>
        <v>647.98543603557039</v>
      </c>
      <c r="G6"/>
      <c r="H6" s="34" t="s">
        <v>18</v>
      </c>
      <c r="I6" s="36">
        <f>IF(B5*12+C5&lt;I3*12,0,(B5*12+C5)-(I3*12))</f>
        <v>48</v>
      </c>
    </row>
    <row r="7" spans="1:9" ht="15.75" thickBot="1" x14ac:dyDescent="0.3">
      <c r="A7" s="52" t="s">
        <v>19</v>
      </c>
      <c r="B7" s="23">
        <v>1025</v>
      </c>
      <c r="C7" s="68"/>
      <c r="D7"/>
      <c r="E7" s="48" t="s">
        <v>20</v>
      </c>
      <c r="F7" s="69">
        <f>F6+F3</f>
        <v>1672.9854360355703</v>
      </c>
      <c r="G7"/>
      <c r="H7" s="34" t="s">
        <v>21</v>
      </c>
      <c r="I7" s="43">
        <f>IF(B3&lt;1933,0.03/12 *I6, IF(B3&gt;1943,0.08/12*I6,I6*VLOOKUP(B3,'Data Tables'!A27:B37,2,FALSE)))</f>
        <v>0.32</v>
      </c>
    </row>
    <row r="8" spans="1:9" ht="16.5" thickBot="1" x14ac:dyDescent="0.3">
      <c r="A8" s="52" t="s">
        <v>22</v>
      </c>
      <c r="B8" s="28">
        <v>21</v>
      </c>
      <c r="C8" s="61"/>
      <c r="D8"/>
      <c r="E8" s="66" t="s">
        <v>24</v>
      </c>
      <c r="F8" s="67"/>
      <c r="G8"/>
      <c r="H8" s="34" t="s">
        <v>25</v>
      </c>
      <c r="I8" s="35">
        <f>B7/(I5+I7)</f>
        <v>776.5151515151515</v>
      </c>
    </row>
    <row r="9" spans="1:9" ht="17.25" customHeight="1" x14ac:dyDescent="0.3">
      <c r="A9" s="56" t="s">
        <v>26</v>
      </c>
      <c r="B9" s="63"/>
      <c r="C9" s="64"/>
      <c r="D9"/>
      <c r="E9" s="52" t="s">
        <v>27</v>
      </c>
      <c r="F9" s="55">
        <f>I39</f>
        <v>9.4696969696969973</v>
      </c>
      <c r="G9"/>
      <c r="H9" s="34" t="s">
        <v>28</v>
      </c>
      <c r="I9" s="65">
        <f>VLOOKUP(B3+62,'Data Tables'!A91:D141,4,FALSE)</f>
        <v>1.4334882686602566</v>
      </c>
    </row>
    <row r="10" spans="1:9" x14ac:dyDescent="0.25">
      <c r="A10" s="58" t="s">
        <v>6</v>
      </c>
      <c r="B10" s="29">
        <v>1944</v>
      </c>
      <c r="C10" s="61"/>
      <c r="D10"/>
      <c r="E10" s="58" t="s">
        <v>29</v>
      </c>
      <c r="F10" s="62">
        <f>I40-F9</f>
        <v>124.23690758923112</v>
      </c>
      <c r="G10"/>
      <c r="H10" s="34" t="s">
        <v>30</v>
      </c>
      <c r="I10" s="35">
        <f>I8/I9</f>
        <v>541.69620253738481</v>
      </c>
    </row>
    <row r="11" spans="1:9" ht="15.75" thickBot="1" x14ac:dyDescent="0.3">
      <c r="A11" s="59"/>
      <c r="B11" s="60" t="s">
        <v>9</v>
      </c>
      <c r="C11" s="61" t="s">
        <v>10</v>
      </c>
      <c r="D11"/>
      <c r="E11" s="48" t="s">
        <v>20</v>
      </c>
      <c r="F11" s="49">
        <f>I40+B14</f>
        <v>633.70660455892812</v>
      </c>
      <c r="G11"/>
      <c r="H11" s="34" t="s">
        <v>31</v>
      </c>
      <c r="I11" s="35">
        <f>I10/VLOOKUP(B8,'Data Tables'!A144:B154,2,FALSE)</f>
        <v>1203.7693389719661</v>
      </c>
    </row>
    <row r="12" spans="1:9" ht="15.75" x14ac:dyDescent="0.25">
      <c r="A12" s="58" t="s">
        <v>32</v>
      </c>
      <c r="B12" s="24">
        <v>70</v>
      </c>
      <c r="C12" s="25">
        <v>0</v>
      </c>
      <c r="D12"/>
      <c r="E12" s="56" t="s">
        <v>33</v>
      </c>
      <c r="F12" s="57"/>
      <c r="G12"/>
      <c r="H12" s="34" t="s">
        <v>34</v>
      </c>
      <c r="I12" s="35">
        <f>VLOOKUP(B8,'Data Tables'!A144:B154,2,FALSE)</f>
        <v>0.45</v>
      </c>
    </row>
    <row r="13" spans="1:9" x14ac:dyDescent="0.25">
      <c r="A13" s="52" t="s">
        <v>16</v>
      </c>
      <c r="B13" s="24">
        <v>70</v>
      </c>
      <c r="C13" s="25">
        <v>0</v>
      </c>
      <c r="D13"/>
      <c r="E13" s="52" t="s">
        <v>35</v>
      </c>
      <c r="F13" s="55">
        <f>ROUNDDOWN(B15*(F10+F6)/1.025,0)</f>
        <v>9040</v>
      </c>
      <c r="G13"/>
      <c r="H13" s="34" t="s">
        <v>36</v>
      </c>
      <c r="I13" s="35">
        <f>VLOOKUP(B3+62,'Data Tables'!A40:B86,2,FALSE)</f>
        <v>761</v>
      </c>
    </row>
    <row r="14" spans="1:9" x14ac:dyDescent="0.25">
      <c r="A14" s="52" t="s">
        <v>37</v>
      </c>
      <c r="B14" s="23">
        <v>500</v>
      </c>
      <c r="C14" s="51"/>
      <c r="D14"/>
      <c r="E14" s="52" t="s">
        <v>38</v>
      </c>
      <c r="F14" s="53">
        <f ca="1">(MONTH(TODAY())+12*(YEAR(TODAY())-2025))*(F6+F10)</f>
        <v>772.22234362480151</v>
      </c>
      <c r="G14"/>
      <c r="H14" s="34" t="s">
        <v>39</v>
      </c>
      <c r="I14" s="54">
        <f>(IF(I11&gt;I13,(I11-I13)*I12/0.32,0))</f>
        <v>622.64438292932732</v>
      </c>
    </row>
    <row r="15" spans="1:9" ht="15.75" thickBot="1" x14ac:dyDescent="0.3">
      <c r="A15" s="50" t="s">
        <v>40</v>
      </c>
      <c r="B15" s="30">
        <v>12</v>
      </c>
      <c r="C15" s="47"/>
      <c r="D15"/>
      <c r="E15" s="48" t="s">
        <v>41</v>
      </c>
      <c r="F15" s="49">
        <f ca="1">F14+F13</f>
        <v>9812.2223436248023</v>
      </c>
      <c r="G15"/>
      <c r="H15" s="34" t="s">
        <v>42</v>
      </c>
      <c r="I15" s="35">
        <f>VLOOKUP(B3+62,'Data Tables'!A40:C86,3,FALSE)</f>
        <v>4586</v>
      </c>
    </row>
    <row r="16" spans="1:9" x14ac:dyDescent="0.25">
      <c r="A16"/>
      <c r="B16"/>
      <c r="C16"/>
      <c r="D16"/>
      <c r="E16"/>
      <c r="F16"/>
      <c r="G16" s="33"/>
      <c r="H16" s="34" t="s">
        <v>43</v>
      </c>
      <c r="I16" s="35">
        <f>IF(I14+I13&gt;I15,(I13+I14-I15)*0.32/0.15,0)</f>
        <v>0</v>
      </c>
    </row>
    <row r="17" spans="1:9" x14ac:dyDescent="0.25">
      <c r="A17"/>
      <c r="B17"/>
      <c r="C17"/>
      <c r="D17"/>
      <c r="E17"/>
      <c r="F17"/>
      <c r="G17" s="33"/>
      <c r="H17" s="34" t="s">
        <v>44</v>
      </c>
      <c r="I17" s="35">
        <f>MIN(I11,I13)+I14+I16</f>
        <v>1383.6443829293273</v>
      </c>
    </row>
    <row r="18" spans="1:9" x14ac:dyDescent="0.25">
      <c r="A18"/>
      <c r="B18"/>
      <c r="C18"/>
      <c r="D18"/>
      <c r="E18"/>
      <c r="F18"/>
      <c r="G18"/>
      <c r="H18" s="34" t="s">
        <v>45</v>
      </c>
      <c r="I18" s="35">
        <f>MIN(I11,I13)*0.9+I14*0.32+I16*0.15</f>
        <v>884.14620253738474</v>
      </c>
    </row>
    <row r="19" spans="1:9" ht="18.75" customHeight="1" x14ac:dyDescent="0.25">
      <c r="A19"/>
      <c r="B19"/>
      <c r="C19"/>
      <c r="D19"/>
      <c r="E19"/>
      <c r="F19"/>
      <c r="G19"/>
      <c r="H19" s="34" t="s">
        <v>46</v>
      </c>
      <c r="I19" s="35">
        <f>MIN(I13,I11)*(0.9-I12)</f>
        <v>342.45</v>
      </c>
    </row>
    <row r="20" spans="1:9" x14ac:dyDescent="0.25">
      <c r="A20"/>
      <c r="B20"/>
      <c r="C20"/>
      <c r="D20"/>
      <c r="E20"/>
      <c r="F20"/>
      <c r="G20"/>
      <c r="H20" s="34" t="s">
        <v>47</v>
      </c>
      <c r="I20" s="35">
        <f>I19*I9</f>
        <v>490.89805760270485</v>
      </c>
    </row>
    <row r="21" spans="1:9" x14ac:dyDescent="0.25">
      <c r="A21"/>
      <c r="B21"/>
      <c r="C21"/>
      <c r="D21"/>
      <c r="E21"/>
      <c r="F21"/>
      <c r="G21"/>
      <c r="H21" s="34" t="s">
        <v>48</v>
      </c>
      <c r="I21" s="35">
        <f>I20*(I5+I7)</f>
        <v>647.98543603557039</v>
      </c>
    </row>
    <row r="22" spans="1:9" x14ac:dyDescent="0.25">
      <c r="A22"/>
      <c r="B22"/>
      <c r="C22"/>
      <c r="D22"/>
      <c r="E22"/>
      <c r="F22"/>
      <c r="G22"/>
      <c r="H22" s="34" t="s">
        <v>49</v>
      </c>
      <c r="I22" s="35">
        <f>I18*I9</f>
        <v>1267.4132091178562</v>
      </c>
    </row>
    <row r="23" spans="1:9" x14ac:dyDescent="0.25">
      <c r="A23"/>
      <c r="B23"/>
      <c r="C23"/>
      <c r="D23"/>
      <c r="E23"/>
      <c r="F23"/>
      <c r="G23" s="37"/>
      <c r="H23" s="34" t="s">
        <v>50</v>
      </c>
      <c r="I23" s="35">
        <f>I22*(I5+I7)</f>
        <v>1672.9854360355703</v>
      </c>
    </row>
    <row r="24" spans="1:9" ht="15.75" x14ac:dyDescent="0.25">
      <c r="A24"/>
      <c r="B24"/>
      <c r="C24"/>
      <c r="D24"/>
      <c r="E24"/>
      <c r="F24"/>
      <c r="G24" s="38"/>
      <c r="H24" s="39" t="s">
        <v>51</v>
      </c>
      <c r="I24" s="40"/>
    </row>
    <row r="25" spans="1:9" x14ac:dyDescent="0.25">
      <c r="A25"/>
      <c r="B25"/>
      <c r="C25"/>
      <c r="D25"/>
      <c r="E25"/>
      <c r="F25"/>
      <c r="G25" s="41"/>
      <c r="H25" s="34" t="s">
        <v>52</v>
      </c>
      <c r="I25" s="42">
        <f>MAX(I3*12-B6*12-C6,0)</f>
        <v>0</v>
      </c>
    </row>
    <row r="26" spans="1:9" x14ac:dyDescent="0.25">
      <c r="A26"/>
      <c r="B26"/>
      <c r="C26"/>
      <c r="D26"/>
      <c r="E26"/>
      <c r="F26"/>
      <c r="G26" s="41"/>
      <c r="H26" s="34" t="s">
        <v>53</v>
      </c>
      <c r="I26" s="35">
        <f>1-(IF(I25&lt;36,I25*25/36,25+(I25-36)*5/12)/100)</f>
        <v>1</v>
      </c>
    </row>
    <row r="27" spans="1:9" x14ac:dyDescent="0.25">
      <c r="A27"/>
      <c r="B27"/>
      <c r="C27"/>
      <c r="D27"/>
      <c r="E27"/>
      <c r="F27"/>
      <c r="G27" s="41"/>
      <c r="H27" s="34" t="s">
        <v>54</v>
      </c>
      <c r="I27" s="42">
        <f>MAX(0,I34-MAX(I23,I22))*I26</f>
        <v>0</v>
      </c>
    </row>
    <row r="28" spans="1:9" x14ac:dyDescent="0.25">
      <c r="A28"/>
      <c r="B28"/>
      <c r="C28"/>
      <c r="D28"/>
      <c r="E28"/>
      <c r="F28"/>
      <c r="G28" s="41"/>
      <c r="H28" s="34" t="s">
        <v>55</v>
      </c>
      <c r="I28" s="36">
        <f>IF(B10&lt;1938,65,IF(B10&gt;1959,67,VLOOKUP(B10,'Data Tables'!A1:B23,2, FALSE)))</f>
        <v>66</v>
      </c>
    </row>
    <row r="29" spans="1:9" x14ac:dyDescent="0.25">
      <c r="A29"/>
      <c r="B29"/>
      <c r="C29"/>
      <c r="D29"/>
      <c r="E29"/>
      <c r="F29"/>
      <c r="G29"/>
      <c r="H29" s="34" t="s">
        <v>56</v>
      </c>
      <c r="I29" s="36">
        <f>MAX(I28*12-B12*12-C12,0)</f>
        <v>0</v>
      </c>
    </row>
    <row r="30" spans="1:9" x14ac:dyDescent="0.25">
      <c r="A30"/>
      <c r="B30"/>
      <c r="C30"/>
      <c r="D30"/>
      <c r="E30"/>
      <c r="F30"/>
      <c r="G30"/>
      <c r="H30" s="34" t="s">
        <v>15</v>
      </c>
      <c r="I30" s="36">
        <f>1-IF(I29&lt;36, 5/9*I29,20+(I29-36)*5/12)/100</f>
        <v>1</v>
      </c>
    </row>
    <row r="31" spans="1:9" x14ac:dyDescent="0.25">
      <c r="A31"/>
      <c r="B31"/>
      <c r="C31"/>
      <c r="D31"/>
      <c r="E31"/>
      <c r="F31"/>
      <c r="G31"/>
      <c r="H31" s="34" t="s">
        <v>57</v>
      </c>
      <c r="I31" s="36">
        <f>IF(B12*12+C12&lt;I28*12,0,(B12*12+C12)-(I28*12))</f>
        <v>48</v>
      </c>
    </row>
    <row r="32" spans="1:9" x14ac:dyDescent="0.25">
      <c r="A32"/>
      <c r="B32"/>
      <c r="C32"/>
      <c r="D32"/>
      <c r="E32"/>
      <c r="F32"/>
      <c r="G32"/>
      <c r="H32" s="34" t="s">
        <v>58</v>
      </c>
      <c r="I32" s="43">
        <f>IF(B10&lt;1933,0.03/12 *I31, IF(B10&gt;1943,0.08/12*I31,I31*VLOOKUP(B10,'Data Tables'!A27:B37,2,FALSE)))</f>
        <v>0.32</v>
      </c>
    </row>
    <row r="33" spans="1:9" x14ac:dyDescent="0.25">
      <c r="A33"/>
      <c r="B33"/>
      <c r="C33"/>
      <c r="D33"/>
      <c r="E33"/>
      <c r="F33"/>
      <c r="G33"/>
      <c r="H33" s="34" t="s">
        <v>59</v>
      </c>
      <c r="I33" s="35">
        <f>B14/(I30+I32)</f>
        <v>378.78787878787875</v>
      </c>
    </row>
    <row r="34" spans="1:9" x14ac:dyDescent="0.25">
      <c r="A34"/>
      <c r="B34"/>
      <c r="C34"/>
      <c r="D34"/>
      <c r="E34"/>
      <c r="F34"/>
      <c r="G34"/>
      <c r="H34" s="34" t="s">
        <v>60</v>
      </c>
      <c r="I34" s="35">
        <f>0.5*I33</f>
        <v>189.39393939393938</v>
      </c>
    </row>
    <row r="35" spans="1:9" x14ac:dyDescent="0.25">
      <c r="A35"/>
      <c r="B35"/>
      <c r="C35"/>
      <c r="D35"/>
      <c r="E35"/>
      <c r="F35"/>
      <c r="G35"/>
      <c r="H35" s="44" t="s">
        <v>61</v>
      </c>
      <c r="I35" s="45"/>
    </row>
    <row r="36" spans="1:9" x14ac:dyDescent="0.25">
      <c r="A36"/>
      <c r="B36"/>
      <c r="C36"/>
      <c r="D36"/>
      <c r="E36"/>
      <c r="F36"/>
      <c r="G36"/>
      <c r="H36" s="34" t="s">
        <v>62</v>
      </c>
      <c r="I36" s="42">
        <f>MAX(I28*12-B13*12-C13,0)</f>
        <v>0</v>
      </c>
    </row>
    <row r="37" spans="1:9" x14ac:dyDescent="0.25">
      <c r="A37"/>
      <c r="B37"/>
      <c r="C37"/>
      <c r="D37"/>
      <c r="E37"/>
      <c r="F37"/>
      <c r="G37"/>
      <c r="H37" s="34" t="s">
        <v>63</v>
      </c>
      <c r="I37" s="35">
        <f>1-(IF(I36&lt;36,I36*25/36,25+(I36-36)*5/12)/100)</f>
        <v>1</v>
      </c>
    </row>
    <row r="38" spans="1:9" x14ac:dyDescent="0.25">
      <c r="A38"/>
      <c r="B38"/>
      <c r="C38"/>
      <c r="D38"/>
      <c r="E38"/>
      <c r="F38"/>
      <c r="G38"/>
      <c r="H38" s="34" t="s">
        <v>64</v>
      </c>
      <c r="I38" s="42">
        <f>MAX(0,0.5*I22-MAX(IF(B14&gt;I33,B14,I33),I33*I30))*I37</f>
        <v>133.70660455892812</v>
      </c>
    </row>
    <row r="39" spans="1:9" x14ac:dyDescent="0.25">
      <c r="A39"/>
      <c r="B39"/>
      <c r="C39"/>
      <c r="D39"/>
      <c r="E39"/>
      <c r="F39"/>
      <c r="G39"/>
      <c r="H39" s="34" t="s">
        <v>65</v>
      </c>
      <c r="I39" s="42">
        <f>MAX(0,0.5*I8-MAX(I33,I33*I30))*I37</f>
        <v>9.4696969696969973</v>
      </c>
    </row>
    <row r="40" spans="1:9" ht="15.75" thickBot="1" x14ac:dyDescent="0.3">
      <c r="A40"/>
      <c r="B40"/>
      <c r="C40"/>
      <c r="D40"/>
      <c r="E40"/>
      <c r="F40"/>
      <c r="G40"/>
      <c r="H40" s="46" t="s">
        <v>66</v>
      </c>
      <c r="I40" s="124">
        <f>I38*I37</f>
        <v>133.70660455892812</v>
      </c>
    </row>
    <row r="41" spans="1:9" x14ac:dyDescent="0.25">
      <c r="A41"/>
      <c r="B41"/>
      <c r="C41"/>
      <c r="D41"/>
      <c r="E41"/>
      <c r="F41"/>
      <c r="G41"/>
      <c r="H41"/>
      <c r="I41"/>
    </row>
    <row r="46" spans="1:9" x14ac:dyDescent="0.25">
      <c r="F46" s="31"/>
    </row>
    <row r="47" spans="1:9" x14ac:dyDescent="0.25">
      <c r="F47" s="31"/>
    </row>
    <row r="48" spans="1:9" x14ac:dyDescent="0.25">
      <c r="F48" s="31"/>
    </row>
    <row r="49" spans="1:6" x14ac:dyDescent="0.25">
      <c r="F49" s="31"/>
    </row>
    <row r="50" spans="1:6" x14ac:dyDescent="0.25">
      <c r="F50" s="31"/>
    </row>
    <row r="51" spans="1:6" x14ac:dyDescent="0.25">
      <c r="F51" s="31"/>
    </row>
    <row r="53" spans="1:6" x14ac:dyDescent="0.25">
      <c r="F53" s="31"/>
    </row>
    <row r="54" spans="1:6" x14ac:dyDescent="0.25">
      <c r="A54" s="32"/>
    </row>
  </sheetData>
  <sheetProtection algorithmName="SHA-512" hashValue="7ULK++cX5x7RNCgFEEodl0jp3U6j2ak24s0CSwW/cVW7k+aO1FDb/PJzm7rP/iQ0/BWSOWpIDznxZOcomoRK2Q==" saltValue="j7gdffgi4H5AWR37XQtBWw==" spinCount="100000" sheet="1" objects="1" scenarios="1" selectLockedCells="1"/>
  <pageMargins left="0.25" right="0.25" top="0.75" bottom="0.75" header="0.3" footer="0.3"/>
  <pageSetup scale="78"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921AF25A-23D0-453D-ABFC-F3F6F6A71F0D}">
          <x14:formula1>
            <xm:f>'Data Tables'!$A$144:$A$154</xm:f>
          </x14:formula1>
          <xm:sqref>B8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8A8DCF-6178-4351-A76E-FAD51A703572}">
  <sheetPr>
    <pageSetUpPr fitToPage="1"/>
  </sheetPr>
  <dimension ref="A1:I38"/>
  <sheetViews>
    <sheetView workbookViewId="0">
      <selection activeCell="B13" sqref="B13"/>
    </sheetView>
  </sheetViews>
  <sheetFormatPr defaultColWidth="8.85546875" defaultRowHeight="15" x14ac:dyDescent="0.25"/>
  <cols>
    <col min="1" max="1" width="39" bestFit="1" customWidth="1"/>
    <col min="4" max="4" width="3.28515625" customWidth="1"/>
    <col min="5" max="5" width="39.140625" customWidth="1"/>
    <col min="6" max="6" width="12" bestFit="1" customWidth="1"/>
    <col min="7" max="7" width="3.42578125" customWidth="1"/>
    <col min="8" max="8" width="28.42578125" bestFit="1" customWidth="1"/>
    <col min="9" max="9" width="14.42578125" bestFit="1" customWidth="1"/>
  </cols>
  <sheetData>
    <row r="1" spans="1:9" ht="24.75" thickBot="1" x14ac:dyDescent="0.5">
      <c r="A1" s="73" t="s">
        <v>0</v>
      </c>
      <c r="E1" s="73" t="s">
        <v>1</v>
      </c>
      <c r="H1" s="73" t="s">
        <v>2</v>
      </c>
    </row>
    <row r="2" spans="1:9" x14ac:dyDescent="0.25">
      <c r="A2" s="95" t="s">
        <v>67</v>
      </c>
      <c r="B2" s="74"/>
      <c r="C2" s="75"/>
      <c r="E2" s="95" t="s">
        <v>68</v>
      </c>
      <c r="F2" s="102"/>
      <c r="H2" s="103" t="s">
        <v>69</v>
      </c>
      <c r="I2" s="104">
        <f>IF(B9&lt;1938,65,IF(B9&gt;1959,67,VLOOKUP(B9,'Data Tables'!A1:B23,2, FALSE)))</f>
        <v>65</v>
      </c>
    </row>
    <row r="3" spans="1:9" x14ac:dyDescent="0.25">
      <c r="A3" s="90" t="s">
        <v>6</v>
      </c>
      <c r="B3" s="79">
        <v>1940</v>
      </c>
      <c r="C3" s="61"/>
      <c r="E3" s="34" t="s">
        <v>70</v>
      </c>
      <c r="F3" s="101">
        <f>B7</f>
        <v>500</v>
      </c>
      <c r="H3" s="34" t="s">
        <v>56</v>
      </c>
      <c r="I3" s="36">
        <f>MAX(I2*12-B12*12-C12,0)</f>
        <v>0</v>
      </c>
    </row>
    <row r="4" spans="1:9" x14ac:dyDescent="0.25">
      <c r="A4" s="91"/>
      <c r="B4" t="s">
        <v>71</v>
      </c>
      <c r="C4" s="36" t="s">
        <v>72</v>
      </c>
      <c r="E4" s="34" t="s">
        <v>73</v>
      </c>
      <c r="F4" s="101">
        <f>F5-F3</f>
        <v>2953.7948976613588</v>
      </c>
      <c r="H4" s="34" t="s">
        <v>15</v>
      </c>
      <c r="I4" s="36">
        <f>1-IF(I3&lt;36, 5/9*I3,20+(I3-36)*5/12)/100</f>
        <v>1</v>
      </c>
    </row>
    <row r="5" spans="1:9" ht="15.75" thickBot="1" x14ac:dyDescent="0.3">
      <c r="A5" s="90" t="s">
        <v>74</v>
      </c>
      <c r="B5" s="80">
        <v>80</v>
      </c>
      <c r="C5" s="81">
        <v>0</v>
      </c>
      <c r="E5" s="99" t="s">
        <v>75</v>
      </c>
      <c r="F5" s="100">
        <f>IF(I11&gt;I9,I11*(1-I14),MIN((1-I14)*I9,I10))</f>
        <v>3453.7948976613588</v>
      </c>
      <c r="H5" s="34" t="s">
        <v>76</v>
      </c>
      <c r="I5" s="36">
        <f>IF(B12*12+C12&lt;I2*12,0,(B12*12+C12)-(I2*12))</f>
        <v>60</v>
      </c>
    </row>
    <row r="6" spans="1:9" x14ac:dyDescent="0.25">
      <c r="A6" s="98" t="s">
        <v>77</v>
      </c>
      <c r="B6" s="82">
        <v>12</v>
      </c>
      <c r="C6" s="36"/>
      <c r="E6" s="95" t="s">
        <v>78</v>
      </c>
      <c r="F6" s="97"/>
      <c r="H6" s="34" t="s">
        <v>21</v>
      </c>
      <c r="I6" s="43">
        <f>IF(B9&lt;1933,0.03/12 *I5, IF(B9&gt;1943,0.08/12*I5,I5*VLOOKUP(B9,'Data Tables'!A27:B37,2,FALSE)))</f>
        <v>0.32500000000000001</v>
      </c>
    </row>
    <row r="7" spans="1:9" ht="15.75" thickBot="1" x14ac:dyDescent="0.3">
      <c r="A7" s="96" t="s">
        <v>79</v>
      </c>
      <c r="B7" s="83">
        <v>500</v>
      </c>
      <c r="C7" s="47"/>
      <c r="E7" s="91" t="s">
        <v>35</v>
      </c>
      <c r="F7" s="72">
        <f>B6*F4/1.025</f>
        <v>34581.01343603542</v>
      </c>
      <c r="H7" s="34" t="s">
        <v>80</v>
      </c>
      <c r="I7" s="35">
        <f>B13/(I4+I6)</f>
        <v>2113.2075471698113</v>
      </c>
    </row>
    <row r="8" spans="1:9" x14ac:dyDescent="0.25">
      <c r="A8" s="95" t="s">
        <v>81</v>
      </c>
      <c r="B8" s="74"/>
      <c r="C8" s="75"/>
      <c r="E8" s="91" t="s">
        <v>38</v>
      </c>
      <c r="F8" s="72">
        <f ca="1">(MONTH(TODAY())+12*(YEAR(TODAY())-2025))*F4</f>
        <v>2953.7948976613588</v>
      </c>
      <c r="H8" s="34" t="s">
        <v>82</v>
      </c>
      <c r="I8" s="35">
        <f>VLOOKUP('Widow Calculator'!B10,'Data Tables'!A91:D141,4,FALSE)</f>
        <v>1.2334981777361995</v>
      </c>
    </row>
    <row r="9" spans="1:9" ht="15.75" thickBot="1" x14ac:dyDescent="0.3">
      <c r="A9" s="91" t="s">
        <v>6</v>
      </c>
      <c r="B9" s="84">
        <v>1937</v>
      </c>
      <c r="C9" s="36"/>
      <c r="E9" s="93" t="s">
        <v>41</v>
      </c>
      <c r="F9" s="94">
        <f ca="1">F8+F7</f>
        <v>37534.808333696783</v>
      </c>
      <c r="H9" s="34" t="s">
        <v>83</v>
      </c>
      <c r="I9" s="35">
        <f>I7*I8</f>
        <v>2606.6376586123461</v>
      </c>
    </row>
    <row r="10" spans="1:9" x14ac:dyDescent="0.25">
      <c r="A10" s="90" t="s">
        <v>84</v>
      </c>
      <c r="B10" s="80">
        <v>2020</v>
      </c>
      <c r="C10" s="36"/>
      <c r="H10" s="34" t="s">
        <v>85</v>
      </c>
      <c r="I10" s="42">
        <f>MAX(I4,0.825)*I9</f>
        <v>2606.6376586123461</v>
      </c>
    </row>
    <row r="11" spans="1:9" x14ac:dyDescent="0.25">
      <c r="A11" s="91"/>
      <c r="B11" s="92" t="s">
        <v>71</v>
      </c>
      <c r="C11" s="36" t="s">
        <v>72</v>
      </c>
      <c r="H11" s="34" t="s">
        <v>86</v>
      </c>
      <c r="I11" s="35">
        <f>B13*I8</f>
        <v>3453.7948976613588</v>
      </c>
    </row>
    <row r="12" spans="1:9" x14ac:dyDescent="0.25">
      <c r="A12" s="90" t="s">
        <v>32</v>
      </c>
      <c r="B12" s="79">
        <v>70</v>
      </c>
      <c r="C12" s="81">
        <v>0</v>
      </c>
      <c r="H12" s="34" t="s">
        <v>87</v>
      </c>
      <c r="I12" s="35">
        <f>IF(B3&lt;1940,65,IF(B3&gt;1961,67,VLOOKUP(B3+2,'Data Tables'!A1:B23,2, FALSE)))</f>
        <v>65.833333333333329</v>
      </c>
    </row>
    <row r="13" spans="1:9" ht="15.75" thickBot="1" x14ac:dyDescent="0.3">
      <c r="A13" s="89" t="s">
        <v>88</v>
      </c>
      <c r="B13" s="85">
        <v>2800</v>
      </c>
      <c r="C13" s="47"/>
      <c r="F13" s="41"/>
      <c r="H13" s="34" t="s">
        <v>89</v>
      </c>
      <c r="I13" s="42">
        <f>MAX(I12*12-B5*12-C5,0)</f>
        <v>0</v>
      </c>
    </row>
    <row r="14" spans="1:9" ht="15.75" thickBot="1" x14ac:dyDescent="0.3">
      <c r="H14" s="46" t="s">
        <v>90</v>
      </c>
      <c r="I14" s="86">
        <f>0.285/((I12-60)*12)*I13</f>
        <v>0</v>
      </c>
    </row>
    <row r="16" spans="1:9" x14ac:dyDescent="0.25">
      <c r="A16" s="87"/>
    </row>
    <row r="19" spans="1:6" x14ac:dyDescent="0.25">
      <c r="A19" s="88"/>
    </row>
    <row r="23" spans="1:6" x14ac:dyDescent="0.25">
      <c r="F23" s="41"/>
    </row>
    <row r="24" spans="1:6" x14ac:dyDescent="0.25">
      <c r="F24" s="41"/>
    </row>
    <row r="36" spans="6:6" x14ac:dyDescent="0.25">
      <c r="F36" s="41"/>
    </row>
    <row r="38" spans="6:6" x14ac:dyDescent="0.25">
      <c r="F38" s="41"/>
    </row>
  </sheetData>
  <sheetProtection algorithmName="SHA-512" hashValue="s1vw6N860p9BnKCSPl3v6yM7xYjU5Wl9SUBTVF/jCxZ3UcBUwn8B/NVONOpNiAb+B1fhumdLeC9SJmtAro0KEQ==" saltValue="rLBL2rHiTNjARVqSCbGz4A==" spinCount="100000" sheet="1" objects="1" scenarios="1" selectLockedCells="1"/>
  <pageMargins left="0.25" right="0.25" top="0.75" bottom="0.75" header="0.3" footer="0.3"/>
  <pageSetup scale="85"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34B366-63E2-47EF-8693-EA9A42B82F00}">
  <sheetPr>
    <pageSetUpPr fitToPage="1"/>
  </sheetPr>
  <dimension ref="A1:P103"/>
  <sheetViews>
    <sheetView topLeftCell="A3" zoomScaleNormal="100" workbookViewId="0">
      <selection activeCell="B3" sqref="B3"/>
    </sheetView>
  </sheetViews>
  <sheetFormatPr defaultColWidth="8.85546875" defaultRowHeight="15" x14ac:dyDescent="0.25"/>
  <cols>
    <col min="1" max="1" width="31.28515625" bestFit="1" customWidth="1"/>
    <col min="2" max="2" width="10" bestFit="1" customWidth="1"/>
    <col min="4" max="4" width="4.42578125" customWidth="1"/>
    <col min="5" max="5" width="30" customWidth="1"/>
    <col min="6" max="6" width="13.140625" customWidth="1"/>
    <col min="7" max="7" width="10.140625" customWidth="1"/>
    <col min="8" max="8" width="3.7109375" customWidth="1"/>
    <col min="9" max="9" width="20" customWidth="1"/>
    <col min="10" max="10" width="11.42578125" customWidth="1"/>
    <col min="11" max="11" width="4.28515625" customWidth="1"/>
    <col min="12" max="12" width="26.7109375" customWidth="1"/>
    <col min="13" max="13" width="16.42578125" customWidth="1"/>
    <col min="14" max="14" width="4" customWidth="1"/>
    <col min="15" max="15" width="27.7109375" bestFit="1" customWidth="1"/>
    <col min="16" max="16" width="17.85546875" customWidth="1"/>
  </cols>
  <sheetData>
    <row r="1" spans="1:16" ht="24.75" thickBot="1" x14ac:dyDescent="0.5">
      <c r="A1" s="73" t="s">
        <v>0</v>
      </c>
      <c r="I1" s="73" t="s">
        <v>1</v>
      </c>
      <c r="L1" s="118" t="s">
        <v>2</v>
      </c>
      <c r="M1" s="109"/>
      <c r="N1" s="109"/>
      <c r="O1" s="109"/>
      <c r="P1" s="109"/>
    </row>
    <row r="2" spans="1:16" x14ac:dyDescent="0.25">
      <c r="A2" s="95" t="s">
        <v>91</v>
      </c>
      <c r="B2" s="74"/>
      <c r="C2" s="75"/>
      <c r="E2" s="95" t="s">
        <v>92</v>
      </c>
      <c r="F2" s="74"/>
      <c r="G2" s="75"/>
      <c r="I2" s="119" t="s">
        <v>93</v>
      </c>
      <c r="J2" s="120"/>
      <c r="L2" s="121" t="s">
        <v>94</v>
      </c>
      <c r="M2" s="122"/>
      <c r="N2" s="122"/>
      <c r="O2" s="123" t="s">
        <v>95</v>
      </c>
      <c r="P2" s="104"/>
    </row>
    <row r="3" spans="1:16" x14ac:dyDescent="0.25">
      <c r="A3" s="34" t="s">
        <v>6</v>
      </c>
      <c r="B3" s="84">
        <v>1955</v>
      </c>
      <c r="C3" s="36"/>
      <c r="E3" s="34" t="s">
        <v>6</v>
      </c>
      <c r="F3" s="84">
        <v>1942</v>
      </c>
      <c r="G3" s="36"/>
      <c r="I3" s="34" t="s">
        <v>96</v>
      </c>
      <c r="J3" s="72">
        <f ca="1">ROUNDDOWN(M20,1)</f>
        <v>3520.4</v>
      </c>
      <c r="K3" s="41"/>
      <c r="L3" s="34" t="s">
        <v>97</v>
      </c>
      <c r="M3" s="41">
        <f>B3+B4</f>
        <v>2017</v>
      </c>
      <c r="O3" t="s">
        <v>97</v>
      </c>
      <c r="P3" s="35">
        <f>F3+F4</f>
        <v>2004</v>
      </c>
    </row>
    <row r="4" spans="1:16" x14ac:dyDescent="0.25">
      <c r="A4" s="34" t="s">
        <v>98</v>
      </c>
      <c r="B4" s="82">
        <v>62</v>
      </c>
      <c r="C4" s="36"/>
      <c r="E4" s="34" t="s">
        <v>98</v>
      </c>
      <c r="F4" s="82">
        <v>62</v>
      </c>
      <c r="G4" s="36"/>
      <c r="I4" s="34" t="s">
        <v>66</v>
      </c>
      <c r="J4" s="72">
        <f ca="1">ROUNDDOWN(M25,1)</f>
        <v>0</v>
      </c>
      <c r="K4" s="41"/>
      <c r="L4" s="34" t="s">
        <v>99</v>
      </c>
      <c r="M4" s="41">
        <f>VLOOKUP(M3-2,'Data Tables'!A157:B229,2,FALSE)</f>
        <v>48098.63</v>
      </c>
      <c r="O4" t="s">
        <v>99</v>
      </c>
      <c r="P4" s="35">
        <f>VLOOKUP(P3-2,'Data Tables'!A157:B229,2,FALSE)</f>
        <v>33252.089999999997</v>
      </c>
    </row>
    <row r="5" spans="1:16" x14ac:dyDescent="0.25">
      <c r="A5" s="34"/>
      <c r="B5" s="92" t="s">
        <v>9</v>
      </c>
      <c r="C5" s="36" t="s">
        <v>10</v>
      </c>
      <c r="E5" s="34"/>
      <c r="F5" s="92" t="s">
        <v>9</v>
      </c>
      <c r="G5" s="36" t="s">
        <v>10</v>
      </c>
      <c r="I5" s="34" t="s">
        <v>100</v>
      </c>
      <c r="J5" s="72">
        <f ca="1">ROUNDDOWN(J3+J4,0)</f>
        <v>3520</v>
      </c>
      <c r="K5" s="41"/>
      <c r="L5" s="34" t="s">
        <v>101</v>
      </c>
      <c r="M5">
        <f ca="1">M103</f>
        <v>2192744.2903440725</v>
      </c>
      <c r="O5" t="s">
        <v>101</v>
      </c>
      <c r="P5" s="36">
        <f>F100</f>
        <v>0</v>
      </c>
    </row>
    <row r="6" spans="1:16" x14ac:dyDescent="0.25">
      <c r="A6" s="34" t="s">
        <v>32</v>
      </c>
      <c r="B6" s="84">
        <v>69</v>
      </c>
      <c r="C6" s="105">
        <v>0</v>
      </c>
      <c r="E6" s="34" t="s">
        <v>32</v>
      </c>
      <c r="F6" s="84">
        <v>69</v>
      </c>
      <c r="G6" s="105">
        <v>0</v>
      </c>
      <c r="I6" s="44" t="s">
        <v>93</v>
      </c>
      <c r="J6" s="116"/>
      <c r="L6" s="34" t="s">
        <v>102</v>
      </c>
      <c r="M6">
        <f ca="1">M103/420</f>
        <v>5220.819738914458</v>
      </c>
      <c r="O6" t="s">
        <v>102</v>
      </c>
      <c r="P6" s="36">
        <f ca="1">P103/420</f>
        <v>523.5333333333333</v>
      </c>
    </row>
    <row r="7" spans="1:16" x14ac:dyDescent="0.25">
      <c r="A7" s="117" t="s">
        <v>103</v>
      </c>
      <c r="B7" s="106">
        <v>64</v>
      </c>
      <c r="C7" s="81">
        <v>0</v>
      </c>
      <c r="E7" s="117" t="s">
        <v>103</v>
      </c>
      <c r="F7" s="106">
        <v>64</v>
      </c>
      <c r="G7" s="81">
        <v>0</v>
      </c>
      <c r="I7" s="34" t="s">
        <v>96</v>
      </c>
      <c r="J7" s="72">
        <f ca="1">P20</f>
        <v>1059.6516021093666</v>
      </c>
      <c r="L7" s="34" t="s">
        <v>36</v>
      </c>
      <c r="M7" s="41">
        <f>VLOOKUP(B3+62,'Data Tables'!A40:B86,2,FALSE)</f>
        <v>885</v>
      </c>
      <c r="O7" t="s">
        <v>36</v>
      </c>
      <c r="P7" s="35">
        <f>VLOOKUP(F3+62,'Data Tables'!A40:B86,2,FALSE)</f>
        <v>612</v>
      </c>
    </row>
    <row r="8" spans="1:16" x14ac:dyDescent="0.25">
      <c r="A8" s="52" t="s">
        <v>104</v>
      </c>
      <c r="B8" s="115" t="s">
        <v>105</v>
      </c>
      <c r="C8" s="71"/>
      <c r="E8" s="52" t="s">
        <v>106</v>
      </c>
      <c r="F8" s="115" t="s">
        <v>105</v>
      </c>
      <c r="G8" s="71"/>
      <c r="I8" s="34" t="s">
        <v>66</v>
      </c>
      <c r="J8" s="72">
        <f ca="1">P25</f>
        <v>537.20244419843687</v>
      </c>
      <c r="L8" s="34" t="s">
        <v>107</v>
      </c>
      <c r="M8">
        <f ca="1">IF(M6&gt;M7,0.9*M7,M6*0.9)</f>
        <v>796.5</v>
      </c>
      <c r="O8" t="s">
        <v>107</v>
      </c>
      <c r="P8" s="36">
        <f ca="1">IF(P6&gt;P7,0.9*P7,P6*0.9)</f>
        <v>471.18</v>
      </c>
    </row>
    <row r="9" spans="1:16" ht="17.25" customHeight="1" thickBot="1" x14ac:dyDescent="0.3">
      <c r="A9" s="114">
        <v>1951</v>
      </c>
      <c r="B9" s="84">
        <v>50000</v>
      </c>
      <c r="C9" s="36"/>
      <c r="E9" s="34">
        <v>1951</v>
      </c>
      <c r="F9" s="84">
        <v>50000</v>
      </c>
      <c r="G9" s="36"/>
      <c r="I9" s="46" t="s">
        <v>100</v>
      </c>
      <c r="J9" s="110">
        <f ca="1">ROUNDDOWN(J7+J8,0)</f>
        <v>1596</v>
      </c>
      <c r="L9" s="34" t="s">
        <v>42</v>
      </c>
      <c r="M9" s="41">
        <f>VLOOKUP(B3+62,'Data Tables'!A40:C86,3,FALSE)</f>
        <v>5336</v>
      </c>
      <c r="O9" t="s">
        <v>42</v>
      </c>
      <c r="P9" s="35">
        <f>VLOOKUP(F3+62,'Data Tables'!A40:C86,3,FALSE)</f>
        <v>3689</v>
      </c>
    </row>
    <row r="10" spans="1:16" x14ac:dyDescent="0.25">
      <c r="A10" s="34">
        <v>1952</v>
      </c>
      <c r="B10" s="82"/>
      <c r="C10" s="36"/>
      <c r="E10" s="34">
        <v>1952</v>
      </c>
      <c r="F10" s="82"/>
      <c r="G10" s="36"/>
      <c r="L10" s="34" t="s">
        <v>108</v>
      </c>
      <c r="M10">
        <f ca="1">MAX(0,IF(M6&lt;M9,(M6-M7)*0.32,(M9-M7)*0.32))</f>
        <v>1387.4623164526265</v>
      </c>
      <c r="O10" t="s">
        <v>108</v>
      </c>
      <c r="P10" s="36">
        <f ca="1">MAX(0,IF(P6&lt;P9,(P6-P7)*0.32,(P9-P7)*0.32))</f>
        <v>0</v>
      </c>
    </row>
    <row r="11" spans="1:16" x14ac:dyDescent="0.25">
      <c r="A11" s="34">
        <v>1953</v>
      </c>
      <c r="B11" s="84">
        <v>10000</v>
      </c>
      <c r="C11" s="36"/>
      <c r="E11" s="34">
        <v>1953</v>
      </c>
      <c r="F11" s="84"/>
      <c r="G11" s="36"/>
      <c r="L11" s="34" t="s">
        <v>109</v>
      </c>
      <c r="M11">
        <f ca="1">IF(M6&gt;M9,(M6-M9)*0.15,0)</f>
        <v>0</v>
      </c>
      <c r="O11" t="s">
        <v>109</v>
      </c>
      <c r="P11" s="36">
        <f ca="1">IF(P6&gt;P9,(P6-P9)*0.15,0)</f>
        <v>0</v>
      </c>
    </row>
    <row r="12" spans="1:16" x14ac:dyDescent="0.25">
      <c r="A12" s="34">
        <v>1954</v>
      </c>
      <c r="B12" s="84"/>
      <c r="C12" s="36"/>
      <c r="E12" s="34">
        <v>1954</v>
      </c>
      <c r="F12" s="84"/>
      <c r="G12" s="36"/>
      <c r="L12" s="34" t="s">
        <v>110</v>
      </c>
      <c r="M12">
        <f ca="1">SUM(M11,M10,M8)</f>
        <v>2183.9623164526265</v>
      </c>
      <c r="O12" t="s">
        <v>110</v>
      </c>
      <c r="P12" s="36">
        <f ca="1">SUM(P11,P10,P8)</f>
        <v>471.18</v>
      </c>
    </row>
    <row r="13" spans="1:16" x14ac:dyDescent="0.25">
      <c r="A13" s="34">
        <v>1955</v>
      </c>
      <c r="B13" s="84"/>
      <c r="C13" s="36"/>
      <c r="E13" s="34">
        <v>1955</v>
      </c>
      <c r="F13" s="84"/>
      <c r="G13" s="36"/>
      <c r="L13" s="34" t="s">
        <v>28</v>
      </c>
      <c r="M13" s="111">
        <f>VLOOKUP(B3+62,'Data Tables'!A91:D141,4,FALSE)</f>
        <v>1.3140911988350226</v>
      </c>
      <c r="O13" t="s">
        <v>28</v>
      </c>
      <c r="P13" s="65">
        <f>VLOOKUP(F3+62,'Data Tables'!A91:D141,4,FALSE)</f>
        <v>1.7134717127363985</v>
      </c>
    </row>
    <row r="14" spans="1:16" x14ac:dyDescent="0.25">
      <c r="A14" s="34">
        <v>1956</v>
      </c>
      <c r="B14" s="82"/>
      <c r="C14" s="36"/>
      <c r="E14" s="34">
        <v>1956</v>
      </c>
      <c r="F14" s="82"/>
      <c r="G14" s="36"/>
      <c r="L14" s="34" t="s">
        <v>49</v>
      </c>
      <c r="M14" s="111">
        <f ca="1">M12*M13</f>
        <v>2869.9256586377451</v>
      </c>
      <c r="O14" t="s">
        <v>49</v>
      </c>
      <c r="P14" s="65">
        <f ca="1">P12*P13</f>
        <v>807.35360160713628</v>
      </c>
    </row>
    <row r="15" spans="1:16" x14ac:dyDescent="0.25">
      <c r="A15" s="34">
        <v>1957</v>
      </c>
      <c r="B15" s="82">
        <v>20000</v>
      </c>
      <c r="C15" s="36"/>
      <c r="E15" s="34">
        <v>1957</v>
      </c>
      <c r="F15" s="82"/>
      <c r="G15" s="36"/>
      <c r="L15" s="34" t="s">
        <v>111</v>
      </c>
      <c r="M15">
        <f>IF(B3&lt;1938,65,IF(B3&gt;1959,67,VLOOKUP(B3,'Data Tables'!A1:B23,2, FALSE)))</f>
        <v>66.166666666666671</v>
      </c>
      <c r="O15" t="s">
        <v>111</v>
      </c>
      <c r="P15" s="36">
        <f>IF(F3&lt;1938,65,IF(F3&gt;1959,67,VLOOKUP(F3,'Data Tables'!A1:B23,2, FALSE)))</f>
        <v>65.833333333333329</v>
      </c>
    </row>
    <row r="16" spans="1:16" x14ac:dyDescent="0.25">
      <c r="A16" s="34">
        <v>1958</v>
      </c>
      <c r="B16" s="82">
        <v>20000</v>
      </c>
      <c r="C16" s="36"/>
      <c r="E16" s="34">
        <v>1958</v>
      </c>
      <c r="F16" s="82"/>
      <c r="G16" s="36"/>
      <c r="L16" s="34" t="s">
        <v>56</v>
      </c>
      <c r="M16">
        <f>MAX(M15*12-B6*12-C6,0)</f>
        <v>0</v>
      </c>
      <c r="O16" t="s">
        <v>56</v>
      </c>
      <c r="P16" s="36">
        <f>MAX(P15*12-F6*12-G6,0)</f>
        <v>0</v>
      </c>
    </row>
    <row r="17" spans="1:16" x14ac:dyDescent="0.25">
      <c r="A17" s="34">
        <v>1959</v>
      </c>
      <c r="B17" s="82">
        <v>20000</v>
      </c>
      <c r="C17" s="36"/>
      <c r="E17" s="34">
        <v>1959</v>
      </c>
      <c r="F17" s="82"/>
      <c r="G17" s="36"/>
      <c r="L17" s="34" t="s">
        <v>112</v>
      </c>
      <c r="M17">
        <f>1-IF(M16&lt;36, 5/9*M16,20+(M16-36)*5/12)/100</f>
        <v>1</v>
      </c>
      <c r="O17" t="s">
        <v>112</v>
      </c>
      <c r="P17" s="36">
        <f>1-IF(P16&lt;36, 5/9*P16,20+(P16-36)*5/12)/100</f>
        <v>1</v>
      </c>
    </row>
    <row r="18" spans="1:16" x14ac:dyDescent="0.25">
      <c r="A18" s="34">
        <v>1960</v>
      </c>
      <c r="B18" s="82">
        <v>20000</v>
      </c>
      <c r="C18" s="36"/>
      <c r="E18" s="34">
        <v>1960</v>
      </c>
      <c r="F18" s="82"/>
      <c r="G18" s="36"/>
      <c r="L18" s="34" t="s">
        <v>113</v>
      </c>
      <c r="M18">
        <f>MIN(12*(70-M15),IF(B6*12+C6&lt;M15*12,0,(B6*12+C6)-(M15*12)))</f>
        <v>34</v>
      </c>
      <c r="O18" t="s">
        <v>113</v>
      </c>
      <c r="P18" s="36">
        <f>MIN(12*(70-P15),IF(F6*12+G6&lt;P15*12,0,(F6*12+F6)-(P15*12)))</f>
        <v>50.000000000000057</v>
      </c>
    </row>
    <row r="19" spans="1:16" ht="18.75" customHeight="1" x14ac:dyDescent="0.25">
      <c r="A19" s="34">
        <v>1961</v>
      </c>
      <c r="B19" s="82">
        <v>20000</v>
      </c>
      <c r="C19" s="36"/>
      <c r="E19" s="34">
        <v>1961</v>
      </c>
      <c r="F19" s="82"/>
      <c r="G19" s="36"/>
      <c r="L19" s="34" t="s">
        <v>21</v>
      </c>
      <c r="M19" s="112">
        <f>IF(B3&lt;1933,0.03/12 *M18, IF(B3&gt;1943,0.08/12*M18,M18*VLOOKUP(B3,'Data Tables'!A27:B37,2,FALSE)))</f>
        <v>0.22666666666666668</v>
      </c>
      <c r="O19" t="s">
        <v>21</v>
      </c>
      <c r="P19" s="43">
        <f>IF(F3&lt;1933,0.03/12 *P18, IF(F3&gt;1943,0.08/12*P18,P18*VLOOKUP(F3,'Data Tables'!A27:B37,2,FALSE)))</f>
        <v>0.31250000000000033</v>
      </c>
    </row>
    <row r="20" spans="1:16" x14ac:dyDescent="0.25">
      <c r="A20" s="34">
        <v>1962</v>
      </c>
      <c r="B20" s="82">
        <v>20000</v>
      </c>
      <c r="C20" s="36"/>
      <c r="E20" s="34">
        <v>1962</v>
      </c>
      <c r="F20" s="82">
        <v>5000</v>
      </c>
      <c r="G20" s="36"/>
      <c r="L20" s="34" t="s">
        <v>114</v>
      </c>
      <c r="M20">
        <f ca="1">M14*(M17+M19)</f>
        <v>3520.4421412623005</v>
      </c>
      <c r="O20" t="s">
        <v>114</v>
      </c>
      <c r="P20" s="36">
        <f ca="1">P14*(P17+P19)</f>
        <v>1059.6516021093666</v>
      </c>
    </row>
    <row r="21" spans="1:16" x14ac:dyDescent="0.25">
      <c r="A21" s="34">
        <v>1963</v>
      </c>
      <c r="B21" s="82">
        <v>20000</v>
      </c>
      <c r="C21" s="36"/>
      <c r="E21" s="34">
        <v>1963</v>
      </c>
      <c r="F21" s="82">
        <v>8000</v>
      </c>
      <c r="G21" s="36"/>
      <c r="L21" s="34"/>
      <c r="M21" s="41"/>
      <c r="P21" s="35"/>
    </row>
    <row r="22" spans="1:16" x14ac:dyDescent="0.25">
      <c r="A22" s="34">
        <v>1964</v>
      </c>
      <c r="B22" s="82">
        <v>20000</v>
      </c>
      <c r="C22" s="36"/>
      <c r="E22" s="34">
        <v>1964</v>
      </c>
      <c r="F22" s="82"/>
      <c r="G22" s="36"/>
      <c r="L22" s="113" t="s">
        <v>115</v>
      </c>
      <c r="M22" s="41"/>
      <c r="O22" s="88" t="s">
        <v>115</v>
      </c>
      <c r="P22" s="35"/>
    </row>
    <row r="23" spans="1:16" x14ac:dyDescent="0.25">
      <c r="A23" s="34">
        <v>1965</v>
      </c>
      <c r="B23" s="82">
        <v>20000</v>
      </c>
      <c r="C23" s="36"/>
      <c r="E23" s="34">
        <v>1965</v>
      </c>
      <c r="F23" s="82"/>
      <c r="G23" s="36"/>
      <c r="L23" s="34" t="s">
        <v>56</v>
      </c>
      <c r="M23" s="41">
        <f>MAX(M15*12-B7*12-C7,0)</f>
        <v>26</v>
      </c>
      <c r="O23" t="s">
        <v>56</v>
      </c>
      <c r="P23" s="35">
        <f>MAX(P15*12-F7*12-G7,0)</f>
        <v>22</v>
      </c>
    </row>
    <row r="24" spans="1:16" x14ac:dyDescent="0.25">
      <c r="A24" s="34">
        <v>1966</v>
      </c>
      <c r="B24" s="82">
        <v>20000</v>
      </c>
      <c r="C24" s="36"/>
      <c r="E24" s="34">
        <v>1966</v>
      </c>
      <c r="F24" s="82"/>
      <c r="G24" s="36"/>
      <c r="L24" s="34" t="s">
        <v>63</v>
      </c>
      <c r="M24">
        <f>1-(IF(M23&lt;36,M23*25/36,25+(M23-36)*5/12)/100)</f>
        <v>0.81944444444444442</v>
      </c>
      <c r="O24" t="s">
        <v>63</v>
      </c>
      <c r="P24" s="36">
        <f>1-(IF(P23&lt;36,P23*25/36,25+(P23-36)*5/12)/100)</f>
        <v>0.84722222222222221</v>
      </c>
    </row>
    <row r="25" spans="1:16" x14ac:dyDescent="0.25">
      <c r="A25" s="34">
        <v>1967</v>
      </c>
      <c r="B25" s="82">
        <v>20000</v>
      </c>
      <c r="C25" s="36"/>
      <c r="E25" s="34">
        <v>1967</v>
      </c>
      <c r="F25" s="82"/>
      <c r="G25" s="36"/>
      <c r="L25" s="34" t="s">
        <v>64</v>
      </c>
      <c r="M25">
        <f ca="1">MAX(0,0.5*P14-MAX(M14,M20)*M24)</f>
        <v>0</v>
      </c>
      <c r="O25" t="s">
        <v>64</v>
      </c>
      <c r="P25" s="36">
        <f ca="1">MAX(0,0.5*M14-MAX(P14,P20)*P24)</f>
        <v>537.20244419843687</v>
      </c>
    </row>
    <row r="26" spans="1:16" x14ac:dyDescent="0.25">
      <c r="A26" s="34">
        <v>1968</v>
      </c>
      <c r="B26" s="82">
        <v>20000</v>
      </c>
      <c r="C26" s="36"/>
      <c r="E26" s="34">
        <v>1968</v>
      </c>
      <c r="F26" s="82"/>
      <c r="G26" s="36"/>
      <c r="L26" s="34"/>
      <c r="P26" s="36"/>
    </row>
    <row r="27" spans="1:16" x14ac:dyDescent="0.25">
      <c r="A27" s="34">
        <v>1969</v>
      </c>
      <c r="B27" s="82">
        <v>20000</v>
      </c>
      <c r="C27" s="36"/>
      <c r="E27" s="34">
        <v>1969</v>
      </c>
      <c r="F27" s="107"/>
      <c r="G27" s="36"/>
      <c r="L27" s="34" t="s">
        <v>116</v>
      </c>
      <c r="M27" t="s">
        <v>117</v>
      </c>
      <c r="O27" t="s">
        <v>116</v>
      </c>
      <c r="P27" s="36" t="s">
        <v>117</v>
      </c>
    </row>
    <row r="28" spans="1:16" x14ac:dyDescent="0.25">
      <c r="A28" s="34">
        <v>1970</v>
      </c>
      <c r="B28" s="82">
        <v>20000</v>
      </c>
      <c r="C28" s="36"/>
      <c r="E28" s="34">
        <v>1970</v>
      </c>
      <c r="F28" s="108"/>
      <c r="G28" s="36"/>
      <c r="L28" s="34">
        <f>IF(A9&gt;$M$3-2,1,$M$4/VLOOKUP(A9,'Data Tables'!$A$157:$B$229,2,FALSE))</f>
        <v>17.183237113991339</v>
      </c>
      <c r="M28">
        <f>IF(B9=0,0,MIN(B9,'Data Tables'!B232)*L28)</f>
        <v>61859.653610368819</v>
      </c>
      <c r="O28">
        <f>IF(E9&gt;$P$3-2,1,$P$4/VLOOKUP(E9,'Data Tables'!$A$157:$B$229,2,FALSE))</f>
        <v>11.879310221637919</v>
      </c>
      <c r="P28" s="36">
        <f>IF(F9=0,0,MIN(F9,'Data Tables'!A232)*28)</f>
        <v>54628</v>
      </c>
    </row>
    <row r="29" spans="1:16" x14ac:dyDescent="0.25">
      <c r="A29" s="34">
        <v>1971</v>
      </c>
      <c r="B29" s="82">
        <v>20000</v>
      </c>
      <c r="C29" s="36"/>
      <c r="E29" s="34">
        <v>1971</v>
      </c>
      <c r="F29" s="108"/>
      <c r="G29" s="36"/>
      <c r="L29" s="34">
        <f>IF(A10&gt;$M$3-2,1,$M$4/VLOOKUP(A10,'Data Tables'!$A$157:$B$229,2,FALSE))</f>
        <v>16.176741823954366</v>
      </c>
      <c r="M29">
        <f>IF(B10=0,0,MIN(B10,'Data Tables'!B233)*L29)</f>
        <v>0</v>
      </c>
      <c r="O29">
        <f>IF(E10&gt;$P$3-2,1,$P$4/VLOOKUP(E10,'Data Tables'!$A$157:$B$229,2,FALSE))</f>
        <v>11.183488490979778</v>
      </c>
      <c r="P29" s="36">
        <f>IF(F10=0,0,MIN(F10,'Data Tables'!A233)*28)</f>
        <v>0</v>
      </c>
    </row>
    <row r="30" spans="1:16" x14ac:dyDescent="0.25">
      <c r="A30" s="34">
        <v>1972</v>
      </c>
      <c r="B30" s="82">
        <v>20000</v>
      </c>
      <c r="C30" s="36"/>
      <c r="E30" s="34">
        <v>1972</v>
      </c>
      <c r="F30" s="108"/>
      <c r="G30" s="36"/>
      <c r="L30" s="34">
        <f>IF(A11&gt;$M$3-2,1,$M$4/VLOOKUP(A11,'Data Tables'!$A$157:$B$229,2,FALSE))</f>
        <v>15.320767398007288</v>
      </c>
      <c r="M30">
        <f>IF(B11=0,0,MIN(B11,'Data Tables'!B234)*L30)</f>
        <v>55154.762632826234</v>
      </c>
      <c r="O30">
        <f>IF(E11&gt;$P$3-2,1,$P$4/VLOOKUP(E11,'Data Tables'!$A$157:$B$229,2,FALSE))</f>
        <v>10.591726549957952</v>
      </c>
      <c r="P30" s="36">
        <f>IF(F11=0,0,MIN(F11,'Data Tables'!A234)*28)</f>
        <v>0</v>
      </c>
    </row>
    <row r="31" spans="1:16" x14ac:dyDescent="0.25">
      <c r="A31" s="34">
        <v>1973</v>
      </c>
      <c r="B31" s="82">
        <v>20000</v>
      </c>
      <c r="C31" s="36"/>
      <c r="E31" s="34">
        <v>1973</v>
      </c>
      <c r="F31" s="82"/>
      <c r="G31" s="36"/>
      <c r="L31" s="34">
        <f>IF(A12&gt;$M$3-2,1,$M$4/VLOOKUP(A12,'Data Tables'!$A$157:$B$229,2,FALSE))</f>
        <v>15.242115703945951</v>
      </c>
      <c r="M31">
        <f>IF(B12=0,0,MIN(B12,'Data Tables'!B235)*L31)</f>
        <v>0</v>
      </c>
      <c r="O31">
        <f>IF(E12&gt;$P$3-2,1,$P$4/VLOOKUP(E12,'Data Tables'!$A$157:$B$229,2,FALSE))</f>
        <v>10.537352169448987</v>
      </c>
      <c r="P31" s="36">
        <f>IF(F12=0,0,MIN(F12,'Data Tables'!A235)*28)</f>
        <v>0</v>
      </c>
    </row>
    <row r="32" spans="1:16" x14ac:dyDescent="0.25">
      <c r="A32" s="34">
        <v>1974</v>
      </c>
      <c r="B32" s="82">
        <v>20000</v>
      </c>
      <c r="C32" s="36"/>
      <c r="E32" s="34">
        <v>1974</v>
      </c>
      <c r="F32" s="82"/>
      <c r="G32" s="36"/>
      <c r="L32" s="34">
        <f>IF(A13&gt;$M$3-2,1,$M$4/VLOOKUP(A13,'Data Tables'!$A$157:$B$229,2,FALSE))</f>
        <v>14.568985048948337</v>
      </c>
      <c r="M32">
        <f>IF(B13=0,0,MIN(B13,'Data Tables'!B236)*L32)</f>
        <v>0</v>
      </c>
      <c r="O32">
        <f>IF(E13&gt;$P$3-2,1,$P$4/VLOOKUP(E13,'Data Tables'!$A$157:$B$229,2,FALSE))</f>
        <v>10.07199585635359</v>
      </c>
      <c r="P32" s="36">
        <f>IF(F13=0,0,MIN(F13,'Data Tables'!A236)*28)</f>
        <v>0</v>
      </c>
    </row>
    <row r="33" spans="1:16" x14ac:dyDescent="0.25">
      <c r="A33" s="34">
        <v>1975</v>
      </c>
      <c r="B33" s="82">
        <v>20000</v>
      </c>
      <c r="C33" s="36"/>
      <c r="E33" s="34">
        <v>1975</v>
      </c>
      <c r="F33" s="82"/>
      <c r="G33" s="36"/>
      <c r="L33" s="34">
        <f>IF(A14&gt;$M$3-2,1,$M$4/VLOOKUP(A14,'Data Tables'!$A$157:$B$229,2,FALSE))</f>
        <v>13.616570791199084</v>
      </c>
      <c r="M33">
        <f>IF(B14=0,0,MIN(B14,'Data Tables'!B237)*L33)</f>
        <v>0</v>
      </c>
      <c r="O33">
        <f>IF(E14&gt;$P$3-2,1,$P$4/VLOOKUP(E14,'Data Tables'!$A$157:$B$229,2,FALSE))</f>
        <v>9.4135620378443861</v>
      </c>
      <c r="P33" s="36">
        <f>IF(F14=0,0,MIN(F14,'Data Tables'!A237)*28)</f>
        <v>0</v>
      </c>
    </row>
    <row r="34" spans="1:16" x14ac:dyDescent="0.25">
      <c r="A34" s="34">
        <v>1976</v>
      </c>
      <c r="B34" s="82">
        <v>20000</v>
      </c>
      <c r="C34" s="36"/>
      <c r="E34" s="34">
        <v>1976</v>
      </c>
      <c r="F34" s="82"/>
      <c r="G34" s="36"/>
      <c r="L34" s="34">
        <f>IF(A15&gt;$M$3-2,1,$M$4/VLOOKUP(A15,'Data Tables'!$A$157:$B$229,2,FALSE))</f>
        <v>13.207668354513801</v>
      </c>
      <c r="M34">
        <f>IF(B15=0,0,MIN(B15,'Data Tables'!B238)*L34)</f>
        <v>55472.207088957963</v>
      </c>
      <c r="O34">
        <f>IF(E15&gt;$P$3-2,1,$P$4/VLOOKUP(E15,'Data Tables'!$A$157:$B$229,2,FALSE))</f>
        <v>9.1308749711674704</v>
      </c>
      <c r="P34" s="36">
        <f>IF(F15=0,0,MIN(F15,'Data Tables'!A238)*28)</f>
        <v>0</v>
      </c>
    </row>
    <row r="35" spans="1:16" x14ac:dyDescent="0.25">
      <c r="A35" s="34">
        <v>1977</v>
      </c>
      <c r="B35" s="82">
        <v>20000</v>
      </c>
      <c r="C35" s="36"/>
      <c r="E35" s="34">
        <v>1977</v>
      </c>
      <c r="F35" s="82">
        <v>20000</v>
      </c>
      <c r="G35" s="36"/>
      <c r="L35" s="34">
        <f>IF(A16&gt;$M$3-2,1,$M$4/VLOOKUP(A16,'Data Tables'!$A$157:$B$229,2,FALSE))</f>
        <v>13.092337634057378</v>
      </c>
      <c r="M35">
        <f>IF(B16=0,0,MIN(B16,'Data Tables'!B239)*L35)</f>
        <v>54987.818063040984</v>
      </c>
      <c r="O35">
        <f>IF(E16&gt;$P$3-2,1,$P$4/VLOOKUP(E16,'Data Tables'!$A$157:$B$229,2,FALSE))</f>
        <v>9.0511432304425927</v>
      </c>
      <c r="P35" s="36">
        <f>IF(F16=0,0,MIN(F16,'Data Tables'!A239)*28)</f>
        <v>0</v>
      </c>
    </row>
    <row r="36" spans="1:16" x14ac:dyDescent="0.25">
      <c r="A36" s="34">
        <v>1978</v>
      </c>
      <c r="B36" s="82">
        <v>20000</v>
      </c>
      <c r="C36" s="36"/>
      <c r="E36" s="34">
        <v>1978</v>
      </c>
      <c r="F36" s="82"/>
      <c r="G36" s="36"/>
      <c r="L36" s="34">
        <f>IF(A17&gt;$M$3-2,1,$M$4/VLOOKUP(A17,'Data Tables'!$A$157:$B$229,2,FALSE))</f>
        <v>12.474358109860468</v>
      </c>
      <c r="M36">
        <f>IF(B17=0,0,MIN(B17,'Data Tables'!B240)*L36)</f>
        <v>59876.918927330247</v>
      </c>
      <c r="O36">
        <f>IF(E17&gt;$P$3-2,1,$P$4/VLOOKUP(E17,'Data Tables'!$A$157:$B$229,2,FALSE))</f>
        <v>8.6239146221277032</v>
      </c>
      <c r="P36" s="36">
        <f>IF(F17=0,0,MIN(F17,'Data Tables'!A240)*28)</f>
        <v>0</v>
      </c>
    </row>
    <row r="37" spans="1:16" x14ac:dyDescent="0.25">
      <c r="A37" s="34">
        <v>1979</v>
      </c>
      <c r="B37" s="82">
        <v>20000</v>
      </c>
      <c r="C37" s="36"/>
      <c r="E37" s="34">
        <v>1979</v>
      </c>
      <c r="F37" s="82"/>
      <c r="G37" s="36"/>
      <c r="L37" s="34">
        <f>IF(A18&gt;$M$3-2,1,$M$4/VLOOKUP(A18,'Data Tables'!$A$157:$B$229,2,FALSE))</f>
        <v>12.003291640879235</v>
      </c>
      <c r="M37">
        <f>IF(B18=0,0,MIN(B18,'Data Tables'!B241)*L37)</f>
        <v>57615.799876220328</v>
      </c>
      <c r="O37">
        <f>IF(E18&gt;$P$3-2,1,$P$4/VLOOKUP(E18,'Data Tables'!$A$157:$B$229,2,FALSE))</f>
        <v>8.2982516121304073</v>
      </c>
      <c r="P37" s="36">
        <f>IF(F18=0,0,MIN(F18,'Data Tables'!A241)*28)</f>
        <v>0</v>
      </c>
    </row>
    <row r="38" spans="1:16" x14ac:dyDescent="0.25">
      <c r="A38" s="34">
        <v>1980</v>
      </c>
      <c r="B38" s="82">
        <v>20000</v>
      </c>
      <c r="C38" s="36"/>
      <c r="E38" s="34">
        <v>1980</v>
      </c>
      <c r="F38" s="82"/>
      <c r="G38" s="36"/>
      <c r="L38" s="34">
        <f>IF(A19&gt;$M$3-2,1,$M$4/VLOOKUP(A19,'Data Tables'!$A$157:$B$229,2,FALSE))</f>
        <v>11.76937965527704</v>
      </c>
      <c r="M38">
        <f>IF(B19=0,0,MIN(B19,'Data Tables'!B242)*L38)</f>
        <v>56493.022345329795</v>
      </c>
      <c r="O38">
        <f>IF(E19&gt;$P$3-2,1,$P$4/VLOOKUP(E19,'Data Tables'!$A$157:$B$229,2,FALSE))</f>
        <v>8.1365409272871414</v>
      </c>
      <c r="P38" s="36">
        <f>IF(F19=0,0,MIN(F19,'Data Tables'!A242)*28)</f>
        <v>0</v>
      </c>
    </row>
    <row r="39" spans="1:16" x14ac:dyDescent="0.25">
      <c r="A39" s="34">
        <v>1981</v>
      </c>
      <c r="B39" s="82">
        <v>20000</v>
      </c>
      <c r="C39" s="36"/>
      <c r="E39" s="34">
        <v>1981</v>
      </c>
      <c r="F39" s="82"/>
      <c r="G39" s="36"/>
      <c r="L39" s="34">
        <f>IF(A20&gt;$M$3-2,1,$M$4/VLOOKUP(A20,'Data Tables'!$A$157:$B$229,2,FALSE))</f>
        <v>11.208144195367479</v>
      </c>
      <c r="M39">
        <f>IF(B20=0,0,MIN(B20,'Data Tables'!B243)*L39)</f>
        <v>53799.092137763902</v>
      </c>
      <c r="O39">
        <f>IF(E20&gt;$P$3-2,1,$P$4/VLOOKUP(E20,'Data Tables'!$A$157:$B$229,2,FALSE))</f>
        <v>7.7485412685836792</v>
      </c>
      <c r="P39" s="36">
        <f>IF(F20=0,0,MIN(F20,'Data Tables'!A243)*28)</f>
        <v>54936</v>
      </c>
    </row>
    <row r="40" spans="1:16" x14ac:dyDescent="0.25">
      <c r="A40" s="34">
        <v>1982</v>
      </c>
      <c r="B40" s="82">
        <v>20000</v>
      </c>
      <c r="C40" s="36"/>
      <c r="E40" s="34">
        <v>1982</v>
      </c>
      <c r="F40" s="82"/>
      <c r="G40" s="36"/>
      <c r="L40" s="34">
        <f>IF(A21&gt;$M$3-2,1,$M$4/VLOOKUP(A21,'Data Tables'!$A$157:$B$229,2,FALSE))</f>
        <v>10.939860893773426</v>
      </c>
      <c r="M40">
        <f>IF(B21=0,0,MIN(B21,'Data Tables'!B244)*L40)</f>
        <v>52511.332290112448</v>
      </c>
      <c r="O40">
        <f>IF(E21&gt;$P$3-2,1,$P$4/VLOOKUP(E21,'Data Tables'!$A$157:$B$229,2,FALSE))</f>
        <v>7.5630686160340614</v>
      </c>
      <c r="P40" s="36">
        <f>IF(F21=0,0,MIN(F21,'Data Tables'!A244)*28)</f>
        <v>54964</v>
      </c>
    </row>
    <row r="41" spans="1:16" x14ac:dyDescent="0.25">
      <c r="A41" s="34">
        <v>1983</v>
      </c>
      <c r="B41" s="82">
        <v>20000</v>
      </c>
      <c r="C41" s="36"/>
      <c r="E41" s="34">
        <v>1983</v>
      </c>
      <c r="F41" s="82"/>
      <c r="G41" s="36"/>
      <c r="L41" s="34">
        <f>IF(A22&gt;$M$3-2,1,$M$4/VLOOKUP(A22,'Data Tables'!$A$157:$B$229,2,FALSE))</f>
        <v>10.510329260191595</v>
      </c>
      <c r="M41">
        <f>IF(B22=0,0,MIN(B22,'Data Tables'!B245)*L41)</f>
        <v>50449.580448919653</v>
      </c>
      <c r="O41">
        <f>IF(E22&gt;$P$3-2,1,$P$4/VLOOKUP(E22,'Data Tables'!$A$157:$B$229,2,FALSE))</f>
        <v>7.266119939165093</v>
      </c>
      <c r="P41" s="36">
        <f>IF(F22=0,0,MIN(F22,'Data Tables'!A245)*28)</f>
        <v>0</v>
      </c>
    </row>
    <row r="42" spans="1:16" x14ac:dyDescent="0.25">
      <c r="A42" s="34">
        <v>1984</v>
      </c>
      <c r="B42" s="82">
        <v>20000</v>
      </c>
      <c r="C42" s="36"/>
      <c r="E42" s="34">
        <v>1984</v>
      </c>
      <c r="F42" s="82"/>
      <c r="G42" s="36"/>
      <c r="L42" s="34">
        <f>IF(A23&gt;$M$3-2,1,$M$4/VLOOKUP(A23,'Data Tables'!$A$157:$B$229,2,FALSE))</f>
        <v>10.324430315623175</v>
      </c>
      <c r="M42">
        <f>IF(B23=0,0,MIN(B23,'Data Tables'!B246)*L42)</f>
        <v>49557.265514991239</v>
      </c>
      <c r="O42">
        <f>IF(E23&gt;$P$3-2,1,$P$4/VLOOKUP(E23,'Data Tables'!$A$157:$B$229,2,FALSE))</f>
        <v>7.1376021739877036</v>
      </c>
      <c r="P42" s="36">
        <f>IF(F23=0,0,MIN(F23,'Data Tables'!A246)*28)</f>
        <v>0</v>
      </c>
    </row>
    <row r="43" spans="1:16" x14ac:dyDescent="0.25">
      <c r="A43" s="34">
        <v>1985</v>
      </c>
      <c r="B43" s="82">
        <v>20000</v>
      </c>
      <c r="C43" s="36"/>
      <c r="E43" s="34">
        <v>1985</v>
      </c>
      <c r="F43" s="82"/>
      <c r="G43" s="36"/>
      <c r="L43" s="34">
        <f>IF(A24&gt;$M$3-2,1,$M$4/VLOOKUP(A24,'Data Tables'!$A$157:$B$229,2,FALSE))</f>
        <v>9.739798232611637</v>
      </c>
      <c r="M43">
        <f>IF(B24=0,0,MIN(B24,'Data Tables'!B247)*L43)</f>
        <v>64282.668335236805</v>
      </c>
      <c r="O43">
        <f>IF(E24&gt;$P$3-2,1,$P$4/VLOOKUP(E24,'Data Tables'!$A$157:$B$229,2,FALSE))</f>
        <v>6.7334276966442301</v>
      </c>
      <c r="P43" s="36">
        <f>IF(F24=0,0,MIN(F24,'Data Tables'!A247)*28)</f>
        <v>0</v>
      </c>
    </row>
    <row r="44" spans="1:16" x14ac:dyDescent="0.25">
      <c r="A44" s="34">
        <v>1986</v>
      </c>
      <c r="B44" s="82">
        <v>20000</v>
      </c>
      <c r="C44" s="36"/>
      <c r="E44" s="34">
        <v>1986</v>
      </c>
      <c r="F44" s="82"/>
      <c r="G44" s="36"/>
      <c r="L44" s="34">
        <f>IF(A25&gt;$M$3-2,1,$M$4/VLOOKUP(A25,'Data Tables'!$A$157:$B$229,2,FALSE))</f>
        <v>9.2258911582371717</v>
      </c>
      <c r="M44">
        <f>IF(B25=0,0,MIN(B25,'Data Tables'!B248)*L44)</f>
        <v>60890.881644365334</v>
      </c>
      <c r="O44">
        <f>IF(E25&gt;$P$3-2,1,$P$4/VLOOKUP(E25,'Data Tables'!$A$157:$B$229,2,FALSE))</f>
        <v>6.3781476338080036</v>
      </c>
      <c r="P44" s="36">
        <f>IF(F25=0,0,MIN(F25,'Data Tables'!A248)*28)</f>
        <v>0</v>
      </c>
    </row>
    <row r="45" spans="1:16" x14ac:dyDescent="0.25">
      <c r="A45" s="34">
        <v>1987</v>
      </c>
      <c r="B45" s="82">
        <v>20000</v>
      </c>
      <c r="C45" s="36"/>
      <c r="E45" s="34">
        <v>1987</v>
      </c>
      <c r="F45" s="82"/>
      <c r="G45" s="36"/>
      <c r="L45" s="34">
        <f>IF(A26&gt;$M$3-2,1,$M$4/VLOOKUP(A26,'Data Tables'!$A$157:$B$229,2,FALSE))</f>
        <v>8.6325739084239075</v>
      </c>
      <c r="M45">
        <f>IF(B26=0,0,MIN(B26,'Data Tables'!B249)*L45)</f>
        <v>67334.076485706479</v>
      </c>
      <c r="O45">
        <f>IF(E26&gt;$P$3-2,1,$P$4/VLOOKUP(E26,'Data Tables'!$A$157:$B$229,2,FALSE))</f>
        <v>5.9679688285209691</v>
      </c>
      <c r="P45" s="36">
        <f>IF(F26=0,0,MIN(F26,'Data Tables'!A249)*28)</f>
        <v>0</v>
      </c>
    </row>
    <row r="46" spans="1:16" x14ac:dyDescent="0.25">
      <c r="A46" s="34">
        <v>1988</v>
      </c>
      <c r="B46" s="82">
        <v>20000</v>
      </c>
      <c r="C46" s="36"/>
      <c r="E46" s="34">
        <v>1988</v>
      </c>
      <c r="F46" s="82"/>
      <c r="G46" s="36"/>
      <c r="L46" s="34">
        <f>IF(A27&gt;$M$3-2,1,$M$4/VLOOKUP(A27,'Data Tables'!$A$157:$B$229,2,FALSE))</f>
        <v>8.1609414024324032</v>
      </c>
      <c r="M46">
        <f>IF(B27=0,0,MIN(B27,'Data Tables'!B250)*L46)</f>
        <v>63655.342938972746</v>
      </c>
      <c r="O46">
        <f>IF(E27&gt;$P$3-2,1,$P$4/VLOOKUP(E27,'Data Tables'!$A$157:$B$229,2,FALSE))</f>
        <v>5.6419144994027572</v>
      </c>
      <c r="P46" s="36">
        <f>IF(F27=0,0,MIN(F27,'Data Tables'!A250)*28)</f>
        <v>0</v>
      </c>
    </row>
    <row r="47" spans="1:16" x14ac:dyDescent="0.25">
      <c r="A47" s="34">
        <v>1989</v>
      </c>
      <c r="B47" s="82">
        <v>20000</v>
      </c>
      <c r="C47" s="36"/>
      <c r="E47" s="34">
        <v>1989</v>
      </c>
      <c r="F47" s="82"/>
      <c r="G47" s="36"/>
      <c r="L47" s="34">
        <f>IF(A28&gt;$M$3-2,1,$M$4/VLOOKUP(A28,'Data Tables'!$A$157:$B$229,2,FALSE))</f>
        <v>7.7750992525346572</v>
      </c>
      <c r="M47">
        <f>IF(B28=0,0,MIN(B28,'Data Tables'!B251)*L47)</f>
        <v>60645.774169770324</v>
      </c>
      <c r="O47">
        <f>IF(E28&gt;$P$3-2,1,$P$4/VLOOKUP(E28,'Data Tables'!$A$157:$B$229,2,FALSE))</f>
        <v>5.3751697315332088</v>
      </c>
      <c r="P47" s="36">
        <f>IF(F28=0,0,MIN(F28,'Data Tables'!A251)*28)</f>
        <v>0</v>
      </c>
    </row>
    <row r="48" spans="1:16" x14ac:dyDescent="0.25">
      <c r="A48" s="34">
        <v>1990</v>
      </c>
      <c r="B48" s="82">
        <v>20000</v>
      </c>
      <c r="C48" s="36"/>
      <c r="E48" s="34">
        <v>1990</v>
      </c>
      <c r="F48" s="82"/>
      <c r="G48" s="36"/>
      <c r="L48" s="34">
        <f>IF(A29&gt;$M$3-2,1,$M$4/VLOOKUP(A29,'Data Tables'!$A$157:$B$229,2,FALSE))</f>
        <v>7.4031149377874366</v>
      </c>
      <c r="M48">
        <f>IF(B29=0,0,MIN(B29,'Data Tables'!B252)*L48)</f>
        <v>57744.296514742004</v>
      </c>
      <c r="O48">
        <f>IF(E29&gt;$P$3-2,1,$P$4/VLOOKUP(E29,'Data Tables'!$A$157:$B$229,2,FALSE))</f>
        <v>5.1180053193126751</v>
      </c>
      <c r="P48" s="36">
        <f>IF(F29=0,0,MIN(F29,'Data Tables'!A252)*28)</f>
        <v>0</v>
      </c>
    </row>
    <row r="49" spans="1:16" x14ac:dyDescent="0.25">
      <c r="A49" s="34">
        <v>1991</v>
      </c>
      <c r="B49" s="82">
        <v>20000</v>
      </c>
      <c r="C49" s="36"/>
      <c r="E49" s="34">
        <v>1991</v>
      </c>
      <c r="F49" s="108"/>
      <c r="G49" s="36"/>
      <c r="L49" s="34">
        <f>IF(A30&gt;$M$3-2,1,$M$4/VLOOKUP(A30,'Data Tables'!$A$157:$B$229,2,FALSE))</f>
        <v>6.7423575093218195</v>
      </c>
      <c r="M49">
        <f>IF(B30=0,0,MIN(B30,'Data Tables'!B253)*L49)</f>
        <v>60681.217583896374</v>
      </c>
      <c r="O49">
        <f>IF(E30&gt;$P$3-2,1,$P$4/VLOOKUP(E30,'Data Tables'!$A$157:$B$229,2,FALSE))</f>
        <v>4.6612030054108606</v>
      </c>
      <c r="P49" s="36">
        <f>IF(F30=0,0,MIN(F30,'Data Tables'!A253)*28)</f>
        <v>0</v>
      </c>
    </row>
    <row r="50" spans="1:16" x14ac:dyDescent="0.25">
      <c r="A50" s="34">
        <v>1992</v>
      </c>
      <c r="B50" s="108"/>
      <c r="C50" s="36"/>
      <c r="E50" s="34">
        <v>1992</v>
      </c>
      <c r="F50" s="108"/>
      <c r="G50" s="36"/>
      <c r="L50" s="34">
        <f>IF(A31&gt;$M$3-2,1,$M$4/VLOOKUP(A31,'Data Tables'!$A$157:$B$229,2,FALSE))</f>
        <v>6.3453317608071593</v>
      </c>
      <c r="M50">
        <f>IF(B31=0,0,MIN(B31,'Data Tables'!B254)*L50)</f>
        <v>68529.583016717326</v>
      </c>
      <c r="O50">
        <f>IF(E31&gt;$P$3-2,1,$P$4/VLOOKUP(E31,'Data Tables'!$A$157:$B$229,2,FALSE))</f>
        <v>4.386726665400202</v>
      </c>
      <c r="P50" s="36">
        <f>IF(F31=0,0,MIN(F31,'Data Tables'!A254)*28)</f>
        <v>0</v>
      </c>
    </row>
    <row r="51" spans="1:16" x14ac:dyDescent="0.25">
      <c r="A51" s="34">
        <v>1993</v>
      </c>
      <c r="B51" s="108"/>
      <c r="C51" s="36"/>
      <c r="E51" s="34">
        <v>1993</v>
      </c>
      <c r="F51" s="108"/>
      <c r="G51" s="36"/>
      <c r="L51" s="34">
        <f>IF(A32&gt;$M$3-2,1,$M$4/VLOOKUP(A32,'Data Tables'!$A$157:$B$229,2,FALSE))</f>
        <v>5.989299891915584</v>
      </c>
      <c r="M51">
        <f>IF(B32=0,0,MIN(B32,'Data Tables'!B255)*L51)</f>
        <v>79058.758573285711</v>
      </c>
      <c r="O51">
        <f>IF(E32&gt;$P$3-2,1,$P$4/VLOOKUP(E32,'Data Tables'!$A$157:$B$229,2,FALSE))</f>
        <v>4.1405906788398603</v>
      </c>
      <c r="P51" s="36">
        <f>IF(F32=0,0,MIN(F32,'Data Tables'!A255)*28)</f>
        <v>0</v>
      </c>
    </row>
    <row r="52" spans="1:16" x14ac:dyDescent="0.25">
      <c r="A52" s="34">
        <v>1994</v>
      </c>
      <c r="B52" s="108"/>
      <c r="C52" s="36"/>
      <c r="E52" s="34">
        <v>1994</v>
      </c>
      <c r="F52" s="108"/>
      <c r="G52" s="36"/>
      <c r="L52" s="34">
        <f>IF(A33&gt;$M$3-2,1,$M$4/VLOOKUP(A33,'Data Tables'!$A$157:$B$229,2,FALSE))</f>
        <v>5.5728276939190717</v>
      </c>
      <c r="M52">
        <f>IF(B33=0,0,MIN(B33,'Data Tables'!B256)*L52)</f>
        <v>78576.870484258907</v>
      </c>
      <c r="O52">
        <f>IF(E33&gt;$P$3-2,1,$P$4/VLOOKUP(E33,'Data Tables'!$A$157:$B$229,2,FALSE))</f>
        <v>3.8526703989841171</v>
      </c>
      <c r="P52" s="36">
        <f>IF(F33=0,0,MIN(F33,'Data Tables'!A256)*28)</f>
        <v>0</v>
      </c>
    </row>
    <row r="53" spans="1:16" x14ac:dyDescent="0.25">
      <c r="A53" s="34">
        <v>1995</v>
      </c>
      <c r="B53" s="108"/>
      <c r="C53" s="36"/>
      <c r="E53" s="34">
        <v>1995</v>
      </c>
      <c r="F53" s="108"/>
      <c r="G53" s="36"/>
      <c r="L53" s="34">
        <f>IF(A34&gt;$M$3-2,1,$M$4/VLOOKUP(A34,'Data Tables'!$A$157:$B$229,2,FALSE))</f>
        <v>5.2131072738465809</v>
      </c>
      <c r="M53">
        <f>IF(B34=0,0,MIN(B34,'Data Tables'!B257)*L53)</f>
        <v>79760.541289852685</v>
      </c>
      <c r="O53">
        <f>IF(E34&gt;$P$3-2,1,$P$4/VLOOKUP(E34,'Data Tables'!$A$157:$B$229,2,FALSE))</f>
        <v>3.6039844014185256</v>
      </c>
      <c r="P53" s="36">
        <f>IF(F34=0,0,MIN(F34,'Data Tables'!A257)*28)</f>
        <v>0</v>
      </c>
    </row>
    <row r="54" spans="1:16" x14ac:dyDescent="0.25">
      <c r="A54" s="34">
        <v>1996</v>
      </c>
      <c r="B54" s="108"/>
      <c r="C54" s="36"/>
      <c r="E54" s="34">
        <v>1996</v>
      </c>
      <c r="F54" s="108"/>
      <c r="G54" s="36"/>
      <c r="L54" s="34">
        <f>IF(A35&gt;$M$3-2,1,$M$4/VLOOKUP(A35,'Data Tables'!$A$157:$B$229,2,FALSE))</f>
        <v>4.9183419500503094</v>
      </c>
      <c r="M54">
        <f>IF(B35=0,0,MIN(B35,'Data Tables'!B258)*L54)</f>
        <v>81152.6421758301</v>
      </c>
      <c r="O54">
        <f>IF(E35&gt;$P$3-2,1,$P$4/VLOOKUP(E35,'Data Tables'!$A$157:$B$229,2,FALSE))</f>
        <v>3.4002038971556647</v>
      </c>
      <c r="P54" s="36">
        <f>IF(F35=0,0,MIN(F35,'Data Tables'!A258)*28)</f>
        <v>55356</v>
      </c>
    </row>
    <row r="55" spans="1:16" x14ac:dyDescent="0.25">
      <c r="A55" s="34">
        <v>1997</v>
      </c>
      <c r="B55" s="82"/>
      <c r="C55" s="36"/>
      <c r="E55" s="34">
        <v>1997</v>
      </c>
      <c r="F55" s="82"/>
      <c r="G55" s="36"/>
      <c r="L55" s="34">
        <f>IF(A36&gt;$M$3-2,1,$M$4/VLOOKUP(A36,'Data Tables'!$A$157:$B$229,2,FALSE))</f>
        <v>4.5565075127675838</v>
      </c>
      <c r="M55">
        <f>IF(B36=0,0,MIN(B36,'Data Tables'!B259)*L55)</f>
        <v>80650.18297598623</v>
      </c>
      <c r="O55">
        <f>IF(E36&gt;$P$3-2,1,$P$4/VLOOKUP(E36,'Data Tables'!$A$157:$B$229,2,FALSE))</f>
        <v>3.150056413253846</v>
      </c>
      <c r="P55" s="36">
        <f>IF(F36=0,0,MIN(F36,'Data Tables'!A259)*28)</f>
        <v>0</v>
      </c>
    </row>
    <row r="56" spans="1:16" x14ac:dyDescent="0.25">
      <c r="A56" s="34">
        <v>1998</v>
      </c>
      <c r="B56" s="108"/>
      <c r="C56" s="36"/>
      <c r="E56" s="34">
        <v>1998</v>
      </c>
      <c r="F56" s="108"/>
      <c r="G56" s="36"/>
      <c r="L56" s="34">
        <f>IF(A37&gt;$M$3-2,1,$M$4/VLOOKUP(A37,'Data Tables'!$A$157:$B$229,2,FALSE))</f>
        <v>4.1899732217369108</v>
      </c>
      <c r="M56">
        <f>IF(B37=0,0,MIN(B37,'Data Tables'!B260)*L56)</f>
        <v>83799.464434738213</v>
      </c>
      <c r="O56">
        <f>IF(E37&gt;$P$3-2,1,$P$4/VLOOKUP(E37,'Data Tables'!$A$157:$B$229,2,FALSE))</f>
        <v>2.8966597731949064</v>
      </c>
      <c r="P56" s="36">
        <f>IF(F37=0,0,MIN(F37,'Data Tables'!A260)*28)</f>
        <v>0</v>
      </c>
    </row>
    <row r="57" spans="1:16" x14ac:dyDescent="0.25">
      <c r="A57" s="34">
        <v>1999</v>
      </c>
      <c r="B57" s="82"/>
      <c r="C57" s="36"/>
      <c r="E57" s="34">
        <v>1999</v>
      </c>
      <c r="F57" s="82"/>
      <c r="G57" s="36"/>
      <c r="L57" s="34">
        <f>IF(A38&gt;$M$3-2,1,$M$4/VLOOKUP(A38,'Data Tables'!$A$157:$B$229,2,FALSE))</f>
        <v>3.8437514484403197</v>
      </c>
      <c r="M57">
        <f>IF(B38=0,0,MIN(B38,'Data Tables'!B261)*L57)</f>
        <v>76875.028968806393</v>
      </c>
      <c r="O57">
        <f>IF(E38&gt;$P$3-2,1,$P$4/VLOOKUP(E38,'Data Tables'!$A$157:$B$229,2,FALSE))</f>
        <v>2.6573058131004532</v>
      </c>
      <c r="P57" s="36">
        <f>IF(F38=0,0,MIN(F38,'Data Tables'!A261)*28)</f>
        <v>0</v>
      </c>
    </row>
    <row r="58" spans="1:16" x14ac:dyDescent="0.25">
      <c r="A58" s="34">
        <v>2000</v>
      </c>
      <c r="B58" s="82"/>
      <c r="C58" s="36"/>
      <c r="E58" s="34">
        <v>2000</v>
      </c>
      <c r="F58" s="82"/>
      <c r="G58" s="36"/>
      <c r="L58" s="34">
        <f>IF(A39&gt;$M$3-2,1,$M$4/VLOOKUP(A39,'Data Tables'!$A$157:$B$229,2,FALSE))</f>
        <v>3.4922152601810774</v>
      </c>
      <c r="M58">
        <f>IF(B39=0,0,MIN(B39,'Data Tables'!B262)*L58)</f>
        <v>69844.305203621552</v>
      </c>
      <c r="O58">
        <f>IF(E39&gt;$P$3-2,1,$P$4/VLOOKUP(E39,'Data Tables'!$A$157:$B$229,2,FALSE))</f>
        <v>2.4142778314250237</v>
      </c>
      <c r="P58" s="36">
        <f>IF(F39=0,0,MIN(F39,'Data Tables'!A262)*28)</f>
        <v>0</v>
      </c>
    </row>
    <row r="59" spans="1:16" x14ac:dyDescent="0.25">
      <c r="A59" s="34">
        <v>2001</v>
      </c>
      <c r="B59" s="82"/>
      <c r="C59" s="36"/>
      <c r="E59" s="34">
        <v>2001</v>
      </c>
      <c r="F59" s="82"/>
      <c r="G59" s="36"/>
      <c r="L59" s="34">
        <f>IF(A40&gt;$M$3-2,1,$M$4/VLOOKUP(A40,'Data Tables'!$A$157:$B$229,2,FALSE))</f>
        <v>3.3099927467115902</v>
      </c>
      <c r="M59">
        <f>IF(B40=0,0,MIN(B40,'Data Tables'!B263)*L59)</f>
        <v>66199.8549342318</v>
      </c>
      <c r="O59">
        <f>IF(E40&gt;$P$3-2,1,$P$4/VLOOKUP(E40,'Data Tables'!$A$157:$B$229,2,FALSE))</f>
        <v>2.2883016982604492</v>
      </c>
      <c r="P59" s="36">
        <f>IF(F40=0,0,MIN(F40,'Data Tables'!A263)*28)</f>
        <v>0</v>
      </c>
    </row>
    <row r="60" spans="1:16" x14ac:dyDescent="0.25">
      <c r="A60" s="34">
        <v>2002</v>
      </c>
      <c r="B60" s="82"/>
      <c r="C60" s="36"/>
      <c r="E60" s="34">
        <v>2002</v>
      </c>
      <c r="F60" s="82"/>
      <c r="G60" s="36"/>
      <c r="L60" s="34">
        <f>IF(A41&gt;$M$3-2,1,$M$4/VLOOKUP(A41,'Data Tables'!$A$157:$B$229,2,FALSE))</f>
        <v>3.1562354815594476</v>
      </c>
      <c r="M60">
        <f>IF(B41=0,0,MIN(B41,'Data Tables'!B264)*L60)</f>
        <v>63124.709631188955</v>
      </c>
      <c r="O60">
        <f>IF(E41&gt;$P$3-2,1,$P$4/VLOOKUP(E41,'Data Tables'!$A$157:$B$229,2,FALSE))</f>
        <v>2.1820044831632019</v>
      </c>
      <c r="P60" s="36">
        <f>IF(F41=0,0,MIN(F41,'Data Tables'!A264)*28)</f>
        <v>0</v>
      </c>
    </row>
    <row r="61" spans="1:16" x14ac:dyDescent="0.25">
      <c r="A61" s="34">
        <v>2003</v>
      </c>
      <c r="B61" s="82"/>
      <c r="C61" s="36"/>
      <c r="E61" s="34">
        <v>2003</v>
      </c>
      <c r="F61" s="82"/>
      <c r="G61" s="36"/>
      <c r="L61" s="34">
        <f>IF(A42&gt;$M$3-2,1,$M$4/VLOOKUP(A42,'Data Tables'!$A$157:$B$229,2,FALSE))</f>
        <v>2.9809991527771493</v>
      </c>
      <c r="M61">
        <f>IF(B42=0,0,MIN(B42,'Data Tables'!B265)*L61)</f>
        <v>59619.983055542987</v>
      </c>
      <c r="O61">
        <f>IF(E42&gt;$P$3-2,1,$P$4/VLOOKUP(E42,'Data Tables'!$A$157:$B$229,2,FALSE))</f>
        <v>2.0608581183719683</v>
      </c>
      <c r="P61" s="36">
        <f>IF(F42=0,0,MIN(F42,'Data Tables'!A265)*28)</f>
        <v>0</v>
      </c>
    </row>
    <row r="62" spans="1:16" x14ac:dyDescent="0.25">
      <c r="A62" s="34">
        <v>2004</v>
      </c>
      <c r="B62" s="82"/>
      <c r="C62" s="36"/>
      <c r="E62" s="34">
        <v>2004</v>
      </c>
      <c r="F62" s="82"/>
      <c r="G62" s="36"/>
      <c r="L62" s="34">
        <f>IF(A43&gt;$M$3-2,1,$M$4/VLOOKUP(A43,'Data Tables'!$A$157:$B$229,2,FALSE))</f>
        <v>2.8591827260022433</v>
      </c>
      <c r="M62">
        <f>IF(B43=0,0,MIN(B43,'Data Tables'!B266)*L62)</f>
        <v>57183.654520044867</v>
      </c>
      <c r="O62">
        <f>IF(E43&gt;$P$3-2,1,$P$4/VLOOKUP(E43,'Data Tables'!$A$157:$B$229,2,FALSE))</f>
        <v>1.9766426056515942</v>
      </c>
      <c r="P62" s="36">
        <f>IF(F43=0,0,MIN(F43,'Data Tables'!A266)*28)</f>
        <v>0</v>
      </c>
    </row>
    <row r="63" spans="1:16" x14ac:dyDescent="0.25">
      <c r="A63" s="34">
        <v>2005</v>
      </c>
      <c r="B63" s="82"/>
      <c r="C63" s="36"/>
      <c r="E63" s="34">
        <v>2005</v>
      </c>
      <c r="F63" s="82"/>
      <c r="G63" s="36"/>
      <c r="L63" s="34">
        <f>IF(A44&gt;$M$3-2,1,$M$4/VLOOKUP(A44,'Data Tables'!$A$157:$B$229,2,FALSE))</f>
        <v>2.7767653745391652</v>
      </c>
      <c r="M63">
        <f>IF(B44=0,0,MIN(B44,'Data Tables'!B267)*L63)</f>
        <v>55535.3074907833</v>
      </c>
      <c r="O63">
        <f>IF(E44&gt;$P$3-2,1,$P$4/VLOOKUP(E44,'Data Tables'!$A$157:$B$229,2,FALSE))</f>
        <v>1.9196649081909405</v>
      </c>
      <c r="P63" s="36">
        <f>IF(F44=0,0,MIN(F44,'Data Tables'!A267)*28)</f>
        <v>0</v>
      </c>
    </row>
    <row r="64" spans="1:16" x14ac:dyDescent="0.25">
      <c r="A64" s="34">
        <v>2006</v>
      </c>
      <c r="B64" s="82"/>
      <c r="C64" s="36"/>
      <c r="E64" s="34">
        <v>2006</v>
      </c>
      <c r="F64" s="82"/>
      <c r="G64" s="36"/>
      <c r="L64" s="34">
        <f>IF(A45&gt;$M$3-2,1,$M$4/VLOOKUP(A45,'Data Tables'!$A$157:$B$229,2,FALSE))</f>
        <v>2.610295167126059</v>
      </c>
      <c r="M64">
        <f>IF(B45=0,0,MIN(B45,'Data Tables'!B268)*L64)</f>
        <v>52205.903342521182</v>
      </c>
      <c r="O64">
        <f>IF(E45&gt;$P$3-2,1,$P$4/VLOOKUP(E45,'Data Tables'!$A$157:$B$229,2,FALSE))</f>
        <v>1.8045788377723182</v>
      </c>
      <c r="P64" s="36">
        <f>IF(F45=0,0,MIN(F45,'Data Tables'!A268)*28)</f>
        <v>0</v>
      </c>
    </row>
    <row r="65" spans="1:16" x14ac:dyDescent="0.25">
      <c r="A65" s="34">
        <v>2007</v>
      </c>
      <c r="B65" s="82"/>
      <c r="C65" s="36"/>
      <c r="E65" s="34">
        <v>2007</v>
      </c>
      <c r="F65" s="82"/>
      <c r="G65" s="36"/>
      <c r="L65" s="34">
        <f>IF(A46&gt;$M$3-2,1,$M$4/VLOOKUP(A46,'Data Tables'!$A$157:$B$229,2,FALSE))</f>
        <v>2.4877692401588076</v>
      </c>
      <c r="M65">
        <f>IF(B46=0,0,MIN(B46,'Data Tables'!B269)*L65)</f>
        <v>49755.384803176152</v>
      </c>
      <c r="O65">
        <f>IF(E46&gt;$P$3-2,1,$P$4/VLOOKUP(E46,'Data Tables'!$A$157:$B$229,2,FALSE))</f>
        <v>1.7198728253381081</v>
      </c>
      <c r="P65" s="36">
        <f>IF(F46=0,0,MIN(F46,'Data Tables'!A269)*28)</f>
        <v>0</v>
      </c>
    </row>
    <row r="66" spans="1:16" x14ac:dyDescent="0.25">
      <c r="A66" s="34">
        <v>2008</v>
      </c>
      <c r="B66" s="82"/>
      <c r="C66" s="36"/>
      <c r="E66" s="34">
        <v>2008</v>
      </c>
      <c r="F66" s="82"/>
      <c r="G66" s="36"/>
      <c r="L66" s="34">
        <f>IF(A47&gt;$M$3-2,1,$M$4/VLOOKUP(A47,'Data Tables'!$A$157:$B$229,2,FALSE))</f>
        <v>2.3930202417467057</v>
      </c>
      <c r="M66">
        <f>IF(B47=0,0,MIN(B47,'Data Tables'!B270)*L66)</f>
        <v>47860.404834934117</v>
      </c>
      <c r="O66">
        <f>IF(E47&gt;$P$3-2,1,$P$4/VLOOKUP(E47,'Data Tables'!$A$157:$B$229,2,FALSE))</f>
        <v>1.6543698739524018</v>
      </c>
      <c r="P66" s="36">
        <f>IF(F47=0,0,MIN(F47,'Data Tables'!A270)*28)</f>
        <v>0</v>
      </c>
    </row>
    <row r="67" spans="1:16" x14ac:dyDescent="0.25">
      <c r="A67" s="34">
        <v>2009</v>
      </c>
      <c r="B67" s="82"/>
      <c r="C67" s="36"/>
      <c r="E67" s="34">
        <v>2009</v>
      </c>
      <c r="F67" s="82"/>
      <c r="G67" s="36"/>
      <c r="L67" s="34">
        <f>IF(A48&gt;$M$3-2,1,$M$4/VLOOKUP(A48,'Data Tables'!$A$157:$B$229,2,FALSE))</f>
        <v>2.2873633130714408</v>
      </c>
      <c r="M67">
        <f>IF(B48=0,0,MIN(B48,'Data Tables'!B271)*L67)</f>
        <v>45747.266261428813</v>
      </c>
      <c r="O67">
        <f>IF(E48&gt;$P$3-2,1,$P$4/VLOOKUP(E48,'Data Tables'!$A$157:$B$229,2,FALSE))</f>
        <v>1.5813259285960894</v>
      </c>
      <c r="P67" s="36">
        <f>IF(F48=0,0,MIN(F48,'Data Tables'!A271)*28)</f>
        <v>0</v>
      </c>
    </row>
    <row r="68" spans="1:16" x14ac:dyDescent="0.25">
      <c r="A68" s="34">
        <v>2010</v>
      </c>
      <c r="B68" s="82"/>
      <c r="C68" s="36"/>
      <c r="E68" s="34">
        <v>2010</v>
      </c>
      <c r="F68" s="82"/>
      <c r="G68" s="36"/>
      <c r="L68" s="34">
        <f>IF(A49&gt;$M$3-2,1,$M$4/VLOOKUP(A49,'Data Tables'!$A$157:$B$229,2,FALSE))</f>
        <v>2.2051857727081003</v>
      </c>
      <c r="M68">
        <f>IF(B49=0,0,MIN(B49,'Data Tables'!B272)*L68)</f>
        <v>44103.715454162004</v>
      </c>
      <c r="O68">
        <f>IF(E49&gt;$P$3-2,1,$P$4/VLOOKUP(E49,'Data Tables'!$A$157:$B$229,2,FALSE))</f>
        <v>1.524514020062719</v>
      </c>
      <c r="P68" s="36">
        <f>IF(F49=0,0,MIN(F49,'Data Tables'!A272)*28)</f>
        <v>0</v>
      </c>
    </row>
    <row r="69" spans="1:16" x14ac:dyDescent="0.25">
      <c r="A69" s="34">
        <v>2011</v>
      </c>
      <c r="B69" s="82"/>
      <c r="C69" s="36"/>
      <c r="E69" s="34">
        <v>2011</v>
      </c>
      <c r="F69" s="82"/>
      <c r="G69" s="36"/>
      <c r="L69" s="34">
        <f>IF(A50&gt;$M$3-2,1,$M$4/VLOOKUP(A50,'Data Tables'!$A$157:$B$229,2,FALSE))</f>
        <v>2.0971331678251368</v>
      </c>
      <c r="M69">
        <f>IF(B50=0,0,MIN(B50,'Data Tables'!B273)*L69)</f>
        <v>0</v>
      </c>
      <c r="O69">
        <f>IF(E50&gt;$P$3-2,1,$P$4/VLOOKUP(E50,'Data Tables'!$A$157:$B$229,2,FALSE))</f>
        <v>1.4498138686799718</v>
      </c>
      <c r="P69" s="36">
        <f>IF(F50=0,0,MIN(F50,'Data Tables'!A273)*28)</f>
        <v>0</v>
      </c>
    </row>
    <row r="70" spans="1:16" x14ac:dyDescent="0.25">
      <c r="A70" s="34">
        <v>2012</v>
      </c>
      <c r="B70" s="82"/>
      <c r="C70" s="36"/>
      <c r="E70" s="34">
        <v>2012</v>
      </c>
      <c r="F70" s="82"/>
      <c r="G70" s="36"/>
      <c r="L70" s="34">
        <f>IF(A51&gt;$M$3-2,1,$M$4/VLOOKUP(A51,'Data Tables'!$A$157:$B$229,2,FALSE))</f>
        <v>2.0792511197367185</v>
      </c>
      <c r="M70">
        <f>IF(B51=0,0,MIN(B51,'Data Tables'!B274)*L70)</f>
        <v>0</v>
      </c>
      <c r="O70">
        <f>IF(E51&gt;$P$3-2,1,$P$4/VLOOKUP(E51,'Data Tables'!$A$157:$B$229,2,FALSE))</f>
        <v>1.4374514485357721</v>
      </c>
      <c r="P70" s="36">
        <f>IF(F51=0,0,MIN(F51,'Data Tables'!A274)*28)</f>
        <v>0</v>
      </c>
    </row>
    <row r="71" spans="1:16" x14ac:dyDescent="0.25">
      <c r="A71" s="34">
        <v>2013</v>
      </c>
      <c r="B71" s="82"/>
      <c r="C71" s="36"/>
      <c r="E71" s="34">
        <v>2013</v>
      </c>
      <c r="F71" s="82"/>
      <c r="G71" s="36"/>
      <c r="L71" s="34">
        <f>IF(A52&gt;$M$3-2,1,$M$4/VLOOKUP(A52,'Data Tables'!$A$157:$B$229,2,FALSE))</f>
        <v>2.0249045089298305</v>
      </c>
      <c r="M71">
        <f>IF(B52=0,0,MIN(B52,'Data Tables'!B275)*L71)</f>
        <v>0</v>
      </c>
      <c r="O71">
        <f>IF(E52&gt;$P$3-2,1,$P$4/VLOOKUP(E52,'Data Tables'!$A$157:$B$229,2,FALSE))</f>
        <v>1.3998799336351271</v>
      </c>
      <c r="P71" s="36">
        <f>IF(F52=0,0,MIN(F52,'Data Tables'!A275)*28)</f>
        <v>0</v>
      </c>
    </row>
    <row r="72" spans="1:16" x14ac:dyDescent="0.25">
      <c r="A72" s="34">
        <v>2014</v>
      </c>
      <c r="B72" s="82"/>
      <c r="C72" s="36"/>
      <c r="E72" s="34">
        <v>2014</v>
      </c>
      <c r="F72" s="82"/>
      <c r="G72" s="36"/>
      <c r="L72" s="34">
        <f>IF(A53&gt;$M$3-2,1,$M$4/VLOOKUP(A53,'Data Tables'!$A$157:$B$229,2,FALSE))</f>
        <v>1.9468668313252913</v>
      </c>
      <c r="M72">
        <f>IF(B53=0,0,MIN(B53,'Data Tables'!B276)*L72)</f>
        <v>0</v>
      </c>
      <c r="O72">
        <f>IF(E53&gt;$P$3-2,1,$P$4/VLOOKUP(E53,'Data Tables'!$A$157:$B$229,2,FALSE))</f>
        <v>1.3459300419418059</v>
      </c>
      <c r="P72" s="36">
        <f>IF(F53=0,0,MIN(F53,'Data Tables'!A276)*28)</f>
        <v>0</v>
      </c>
    </row>
    <row r="73" spans="1:16" x14ac:dyDescent="0.25">
      <c r="A73" s="34">
        <v>2015</v>
      </c>
      <c r="B73" s="82"/>
      <c r="C73" s="36"/>
      <c r="E73" s="34">
        <v>2015</v>
      </c>
      <c r="F73" s="82"/>
      <c r="G73" s="36"/>
      <c r="L73" s="34">
        <f>IF(A54&gt;$M$3-2,1,$M$4/VLOOKUP(A54,'Data Tables'!$A$157:$B$229,2,FALSE))</f>
        <v>1.8560938338111976</v>
      </c>
      <c r="M73">
        <f>IF(B54=0,0,MIN(B54,'Data Tables'!B277)*L73)</f>
        <v>0</v>
      </c>
      <c r="O73">
        <f>IF(E54&gt;$P$3-2,1,$P$4/VLOOKUP(E54,'Data Tables'!$A$157:$B$229,2,FALSE))</f>
        <v>1.2831758245574767</v>
      </c>
      <c r="P73" s="36">
        <f>IF(F54=0,0,MIN(F54,'Data Tables'!A277)*28)</f>
        <v>0</v>
      </c>
    </row>
    <row r="74" spans="1:16" x14ac:dyDescent="0.25">
      <c r="A74" s="34">
        <v>2016</v>
      </c>
      <c r="B74" s="82"/>
      <c r="C74" s="36"/>
      <c r="E74" s="34">
        <v>2016</v>
      </c>
      <c r="F74" s="82"/>
      <c r="G74" s="36"/>
      <c r="L74" s="34">
        <f>IF(A55&gt;$M$3-2,1,$M$4/VLOOKUP(A55,'Data Tables'!$A$157:$B$229,2,FALSE))</f>
        <v>1.7537603004448332</v>
      </c>
      <c r="M74">
        <f>IF(B55=0,0,MIN(B55,'Data Tables'!B278)*L74)</f>
        <v>0</v>
      </c>
      <c r="O74">
        <f>IF(E55&gt;$P$3-2,1,$P$4/VLOOKUP(E55,'Data Tables'!$A$157:$B$229,2,FALSE))</f>
        <v>1.2124294465106102</v>
      </c>
      <c r="P74" s="36">
        <f>IF(F55=0,0,MIN(F55,'Data Tables'!A278)*28)</f>
        <v>0</v>
      </c>
    </row>
    <row r="75" spans="1:16" x14ac:dyDescent="0.25">
      <c r="A75" s="34">
        <v>2017</v>
      </c>
      <c r="B75" s="82"/>
      <c r="C75" s="36"/>
      <c r="E75" s="34">
        <v>2017</v>
      </c>
      <c r="F75" s="82"/>
      <c r="G75" s="36"/>
      <c r="L75" s="34">
        <f>IF(A56&gt;$M$3-2,1,$M$4/VLOOKUP(A56,'Data Tables'!$A$157:$B$229,2,FALSE))</f>
        <v>1.6665360425536633</v>
      </c>
      <c r="M75">
        <f>IF(B56=0,0,MIN(B56,'Data Tables'!B279)*L75)</f>
        <v>0</v>
      </c>
      <c r="O75">
        <f>IF(E56&gt;$P$3-2,1,$P$4/VLOOKUP(E56,'Data Tables'!$A$157:$B$229,2,FALSE))</f>
        <v>1.1521285840207556</v>
      </c>
      <c r="P75" s="36">
        <f>IF(F56=0,0,MIN(F56,'Data Tables'!A279)*28)</f>
        <v>0</v>
      </c>
    </row>
    <row r="76" spans="1:16" x14ac:dyDescent="0.25">
      <c r="A76" s="34">
        <v>2018</v>
      </c>
      <c r="B76" s="82"/>
      <c r="C76" s="36"/>
      <c r="E76" s="34">
        <v>2018</v>
      </c>
      <c r="F76" s="82"/>
      <c r="G76" s="36"/>
      <c r="L76" s="34">
        <f>IF(A57&gt;$M$3-2,1,$M$4/VLOOKUP(A57,'Data Tables'!$A$157:$B$229,2,FALSE))</f>
        <v>1.5785652304048856</v>
      </c>
      <c r="M76">
        <f>IF(B57=0,0,MIN(B57,'Data Tables'!B280)*L76)</f>
        <v>0</v>
      </c>
      <c r="O76">
        <f>IF(E57&gt;$P$3-2,1,$P$4/VLOOKUP(E57,'Data Tables'!$A$157:$B$229,2,FALSE))</f>
        <v>1.0913116051807294</v>
      </c>
      <c r="P76" s="36">
        <f>IF(F57=0,0,MIN(F57,'Data Tables'!A280)*28)</f>
        <v>0</v>
      </c>
    </row>
    <row r="77" spans="1:16" x14ac:dyDescent="0.25">
      <c r="A77" s="34">
        <v>2019</v>
      </c>
      <c r="B77" s="82"/>
      <c r="C77" s="36"/>
      <c r="E77" s="34">
        <v>2019</v>
      </c>
      <c r="F77" s="82"/>
      <c r="G77" s="36"/>
      <c r="L77" s="34">
        <f>IF(A58&gt;$M$3-2,1,$M$4/VLOOKUP(A58,'Data Tables'!$A$157:$B$229,2,FALSE))</f>
        <v>1.4958451019162913</v>
      </c>
      <c r="M77">
        <f>IF(B58=0,0,MIN(B58,'Data Tables'!B281)*L77)</f>
        <v>0</v>
      </c>
      <c r="O77">
        <f>IF(E58&gt;$P$3-2,1,$P$4/VLOOKUP(E58,'Data Tables'!$A$157:$B$229,2,FALSE))</f>
        <v>1.0341245884753825</v>
      </c>
      <c r="P77" s="36">
        <f>IF(F58=0,0,MIN(F58,'Data Tables'!A281)*28)</f>
        <v>0</v>
      </c>
    </row>
    <row r="78" spans="1:16" x14ac:dyDescent="0.25">
      <c r="A78" s="34">
        <v>2020</v>
      </c>
      <c r="B78" s="82"/>
      <c r="C78" s="36"/>
      <c r="E78" s="34">
        <v>2020</v>
      </c>
      <c r="F78" s="82"/>
      <c r="G78" s="36"/>
      <c r="L78" s="34">
        <f>IF(A59&gt;$M$3-2,1,$M$4/VLOOKUP(A59,'Data Tables'!$A$157:$B$229,2,FALSE))</f>
        <v>1.4609910357597613</v>
      </c>
      <c r="M78">
        <f>IF(B59=0,0,MIN(B59,'Data Tables'!B282)*L78)</f>
        <v>0</v>
      </c>
      <c r="O78">
        <f>IF(E59&gt;$P$3-2,1,$P$4/VLOOKUP(E59,'Data Tables'!$A$157:$B$229,2,FALSE))</f>
        <v>1.0100288804541169</v>
      </c>
      <c r="P78" s="36">
        <f>IF(F59=0,0,MIN(F59,'Data Tables'!A282)*28)</f>
        <v>0</v>
      </c>
    </row>
    <row r="79" spans="1:16" x14ac:dyDescent="0.25">
      <c r="A79" s="34">
        <v>2021</v>
      </c>
      <c r="B79" s="82"/>
      <c r="C79" s="36"/>
      <c r="E79" s="34">
        <v>2021</v>
      </c>
      <c r="F79" s="82"/>
      <c r="G79" s="36"/>
      <c r="L79" s="34">
        <f>IF(A60&gt;$M$3-2,1,$M$4/VLOOKUP(A60,'Data Tables'!$A$157:$B$229,2,FALSE))</f>
        <v>1.4464844164682582</v>
      </c>
      <c r="M79">
        <f>IF(B60=0,0,MIN(B60,'Data Tables'!B283)*L79)</f>
        <v>0</v>
      </c>
      <c r="O79">
        <f>IF(E60&gt;$P$3-2,1,$P$4/VLOOKUP(E60,'Data Tables'!$A$157:$B$229,2,FALSE))</f>
        <v>1</v>
      </c>
      <c r="P79" s="36">
        <f>IF(F60=0,0,MIN(F60,'Data Tables'!A283)*28)</f>
        <v>0</v>
      </c>
    </row>
    <row r="80" spans="1:16" x14ac:dyDescent="0.25">
      <c r="A80" s="34">
        <v>2022</v>
      </c>
      <c r="B80" s="82"/>
      <c r="C80" s="36"/>
      <c r="E80" s="34">
        <v>2022</v>
      </c>
      <c r="F80" s="82"/>
      <c r="G80" s="36"/>
      <c r="L80" s="34">
        <f>IF(A61&gt;$M$3-2,1,$M$4/VLOOKUP(A61,'Data Tables'!$A$157:$B$229,2,FALSE))</f>
        <v>1.4119683134717651</v>
      </c>
      <c r="M80">
        <f>IF(B61=0,0,MIN(B61,'Data Tables'!B284)*L80)</f>
        <v>0</v>
      </c>
      <c r="O80">
        <f>IF(E61&gt;$P$3-2,1,$P$4/VLOOKUP(E61,'Data Tables'!$A$157:$B$229,2,FALSE))</f>
        <v>1</v>
      </c>
      <c r="P80" s="36">
        <f>IF(F61=0,0,MIN(F61,'Data Tables'!A284)*28)</f>
        <v>0</v>
      </c>
    </row>
    <row r="81" spans="1:16" x14ac:dyDescent="0.25">
      <c r="A81" s="34">
        <v>2023</v>
      </c>
      <c r="B81" s="82"/>
      <c r="C81" s="36"/>
      <c r="E81" s="34">
        <v>2023</v>
      </c>
      <c r="F81" s="82"/>
      <c r="G81" s="36"/>
      <c r="L81" s="34">
        <f>IF(A62&gt;$M$3-2,1,$M$4/VLOOKUP(A62,'Data Tables'!$A$157:$B$229,2,FALSE))</f>
        <v>1.3492450604582793</v>
      </c>
      <c r="M81">
        <f>IF(B62=0,0,MIN(B62,'Data Tables'!B285)*L81)</f>
        <v>0</v>
      </c>
      <c r="O81">
        <f>IF(E62&gt;$P$3-2,1,$P$4/VLOOKUP(E62,'Data Tables'!$A$157:$B$229,2,FALSE))</f>
        <v>1</v>
      </c>
      <c r="P81" s="36">
        <f>IF(F62=0,0,MIN(F62,'Data Tables'!A285)*28)</f>
        <v>0</v>
      </c>
    </row>
    <row r="82" spans="1:16" x14ac:dyDescent="0.25">
      <c r="A82" s="34">
        <v>2024</v>
      </c>
      <c r="B82" s="82"/>
      <c r="C82" s="36"/>
      <c r="E82" s="34">
        <v>2024</v>
      </c>
      <c r="F82" s="82"/>
      <c r="G82" s="36"/>
      <c r="L82" s="34">
        <f>IF(A63&gt;$M$3-2,1,$M$4/VLOOKUP(A63,'Data Tables'!$A$157:$B$229,2,FALSE))</f>
        <v>1.3016184909779842</v>
      </c>
      <c r="M82">
        <f>IF(B63=0,0,MIN(B63,'Data Tables'!B286)*L82)</f>
        <v>0</v>
      </c>
      <c r="O82">
        <f>IF(E63&gt;$P$3-2,1,$P$4/VLOOKUP(E63,'Data Tables'!$A$157:$B$229,2,FALSE))</f>
        <v>1</v>
      </c>
      <c r="P82" s="36">
        <f>IF(F63=0,0,MIN(F63,'Data Tables'!A286)*28)</f>
        <v>0</v>
      </c>
    </row>
    <row r="83" spans="1:16" ht="15.75" thickBot="1" x14ac:dyDescent="0.3">
      <c r="A83" s="46">
        <v>2025</v>
      </c>
      <c r="B83" s="83"/>
      <c r="C83" s="47"/>
      <c r="D83" s="91"/>
      <c r="E83" s="46">
        <v>2025</v>
      </c>
      <c r="F83" s="83"/>
      <c r="G83" s="47"/>
      <c r="L83" s="34">
        <f>IF(A64&gt;$M$3-2,1,$M$4/VLOOKUP(A64,'Data Tables'!$A$157:$B$229,2,FALSE))</f>
        <v>1.2444210961514728</v>
      </c>
      <c r="M83">
        <f>IF(B64=0,0,MIN(B64,'Data Tables'!B287)*L83)</f>
        <v>0</v>
      </c>
      <c r="O83">
        <f>IF(E64&gt;$P$3-2,1,$P$4/VLOOKUP(E64,'Data Tables'!$A$157:$B$229,2,FALSE))</f>
        <v>1</v>
      </c>
      <c r="P83" s="36">
        <f>IF(F64=0,0,MIN(F64,'Data Tables'!A287)*28)</f>
        <v>0</v>
      </c>
    </row>
    <row r="84" spans="1:16" x14ac:dyDescent="0.25">
      <c r="L84" s="34">
        <f>IF(A65&gt;$M$3-2,1,$M$4/VLOOKUP(A65,'Data Tables'!$A$157:$B$229,2,FALSE))</f>
        <v>1.1903986785950815</v>
      </c>
      <c r="M84">
        <f>IF(B65=0,0,MIN(B65,'Data Tables'!B288)*L84)</f>
        <v>0</v>
      </c>
      <c r="O84">
        <f>IF(E65&gt;$P$3-2,1,$P$4/VLOOKUP(E65,'Data Tables'!$A$157:$B$229,2,FALSE))</f>
        <v>1</v>
      </c>
      <c r="P84" s="36">
        <f>IF(F65=0,0,MIN(F65,'Data Tables'!A288)*28)</f>
        <v>0</v>
      </c>
    </row>
    <row r="85" spans="1:16" ht="16.5" x14ac:dyDescent="0.3">
      <c r="A85" s="125"/>
      <c r="L85" s="34">
        <f>IF(A66&gt;$M$3-2,1,$M$4/VLOOKUP(A66,'Data Tables'!$A$157:$B$229,2,FALSE))</f>
        <v>1.1636304562456437</v>
      </c>
      <c r="M85">
        <f>IF(B66=0,0,MIN(B66,'Data Tables'!B289)*L85)</f>
        <v>0</v>
      </c>
      <c r="O85">
        <f>IF(E66&gt;$P$3-2,1,$P$4/VLOOKUP(E66,'Data Tables'!$A$157:$B$229,2,FALSE))</f>
        <v>1</v>
      </c>
      <c r="P85" s="36">
        <f>IF(F66=0,0,MIN(F66,'Data Tables'!A289)*28)</f>
        <v>0</v>
      </c>
    </row>
    <row r="86" spans="1:16" x14ac:dyDescent="0.25">
      <c r="L86" s="34">
        <f>IF(A67&gt;$M$3-2,1,$M$4/VLOOKUP(A67,'Data Tables'!$A$157:$B$229,2,FALSE))</f>
        <v>1.1814475035499701</v>
      </c>
      <c r="M86">
        <f>IF(B67=0,0,MIN(B67,'Data Tables'!B290)*L86)</f>
        <v>0</v>
      </c>
      <c r="O86">
        <f>IF(E67&gt;$P$3-2,1,$P$4/VLOOKUP(E67,'Data Tables'!$A$157:$B$229,2,FALSE))</f>
        <v>1</v>
      </c>
      <c r="P86" s="36">
        <f>IF(F67=0,0,MIN(F67,'Data Tables'!A290)*28)</f>
        <v>0</v>
      </c>
    </row>
    <row r="87" spans="1:16" x14ac:dyDescent="0.25">
      <c r="L87" s="34">
        <f>IF(A68&gt;$M$3-2,1,$M$4/VLOOKUP(A68,'Data Tables'!$A$157:$B$229,2,FALSE))</f>
        <v>1.1541686953179009</v>
      </c>
      <c r="M87">
        <f>IF(B68=0,0,MIN(B68,'Data Tables'!B291)*L87)</f>
        <v>0</v>
      </c>
      <c r="O87">
        <f>IF(E68&gt;$P$3-2,1,$P$4/VLOOKUP(E68,'Data Tables'!$A$157:$B$229,2,FALSE))</f>
        <v>1</v>
      </c>
      <c r="P87" s="36">
        <f>IF(F68=0,0,MIN(F68,'Data Tables'!A291)*28)</f>
        <v>0</v>
      </c>
    </row>
    <row r="88" spans="1:16" x14ac:dyDescent="0.25">
      <c r="L88" s="34">
        <f>IF(A69&gt;$M$3-2,1,$M$4/VLOOKUP(A69,'Data Tables'!$A$157:$B$229,2,FALSE))</f>
        <v>1.1191034539401357</v>
      </c>
      <c r="M88">
        <f>IF(B69=0,0,MIN(B69,'Data Tables'!B292)*L88)</f>
        <v>0</v>
      </c>
      <c r="O88">
        <f>IF(E69&gt;$P$3-2,1,$P$4/VLOOKUP(E69,'Data Tables'!$A$157:$B$229,2,FALSE))</f>
        <v>1</v>
      </c>
      <c r="P88" s="36">
        <f>IF(F69=0,0,MIN(F69,'Data Tables'!A292)*28)</f>
        <v>0</v>
      </c>
    </row>
    <row r="89" spans="1:16" x14ac:dyDescent="0.25">
      <c r="L89" s="34">
        <f>IF(A70&gt;$M$3-2,1,$M$4/VLOOKUP(A70,'Data Tables'!$A$157:$B$229,2,FALSE))</f>
        <v>1.0852170055866577</v>
      </c>
      <c r="M89">
        <f>IF(B70=0,0,MIN(B70,'Data Tables'!B293)*L89)</f>
        <v>0</v>
      </c>
      <c r="O89">
        <f>IF(E70&gt;$P$3-2,1,$P$4/VLOOKUP(E70,'Data Tables'!$A$157:$B$229,2,FALSE))</f>
        <v>1</v>
      </c>
      <c r="P89" s="36">
        <f>IF(F70=0,0,MIN(F70,'Data Tables'!A293)*28)</f>
        <v>0</v>
      </c>
    </row>
    <row r="90" spans="1:16" x14ac:dyDescent="0.25">
      <c r="L90" s="34">
        <f>IF(A71&gt;$M$3-2,1,$M$4/VLOOKUP(A71,'Data Tables'!$A$157:$B$229,2,FALSE))</f>
        <v>1.0715215326268663</v>
      </c>
      <c r="M90">
        <f>IF(B71=0,0,MIN(B71,'Data Tables'!B294)*L90)</f>
        <v>0</v>
      </c>
      <c r="O90">
        <f>IF(E71&gt;$P$3-2,1,$P$4/VLOOKUP(E71,'Data Tables'!$A$157:$B$229,2,FALSE))</f>
        <v>1</v>
      </c>
      <c r="P90" s="36">
        <f>IF(F71=0,0,MIN(F71,'Data Tables'!A294)*28)</f>
        <v>0</v>
      </c>
    </row>
    <row r="91" spans="1:16" x14ac:dyDescent="0.25">
      <c r="L91" s="34">
        <f>IF(A72&gt;$M$3-2,1,$M$4/VLOOKUP(A72,'Data Tables'!$A$157:$B$229,2,FALSE))</f>
        <v>1.0347903855123499</v>
      </c>
      <c r="M91">
        <f>IF(B72=0,0,MIN(B72,'Data Tables'!B295)*L91)</f>
        <v>0</v>
      </c>
      <c r="O91">
        <f>IF(E72&gt;$P$3-2,1,$P$4/VLOOKUP(E72,'Data Tables'!$A$157:$B$229,2,FALSE))</f>
        <v>1</v>
      </c>
      <c r="P91" s="36">
        <f>IF(F72=0,0,MIN(F72,'Data Tables'!A295)*28)</f>
        <v>0</v>
      </c>
    </row>
    <row r="92" spans="1:16" x14ac:dyDescent="0.25">
      <c r="L92" s="34">
        <f>IF(A73&gt;$M$3-2,1,$M$4/VLOOKUP(A73,'Data Tables'!$A$157:$B$229,2,FALSE))</f>
        <v>1</v>
      </c>
      <c r="M92">
        <f>IF(B73=0,0,MIN(B73,'Data Tables'!B296)*L92)</f>
        <v>0</v>
      </c>
      <c r="O92">
        <f>IF(E73&gt;$P$3-2,1,$P$4/VLOOKUP(E73,'Data Tables'!$A$157:$B$229,2,FALSE))</f>
        <v>1</v>
      </c>
      <c r="P92" s="36">
        <f>IF(F73=0,0,MIN(F73,'Data Tables'!A296)*28)</f>
        <v>0</v>
      </c>
    </row>
    <row r="93" spans="1:16" x14ac:dyDescent="0.25">
      <c r="L93" s="34">
        <f>IF(A74&gt;$M$3-2,1,$M$4/VLOOKUP(A74,'Data Tables'!$A$157:$B$229,2,FALSE))</f>
        <v>1</v>
      </c>
      <c r="M93">
        <f>IF(B74=0,0,MIN(B74,'Data Tables'!B297)*L93)</f>
        <v>0</v>
      </c>
      <c r="O93">
        <f>IF(E74&gt;$P$3-2,1,$P$4/VLOOKUP(E74,'Data Tables'!$A$157:$B$229,2,FALSE))</f>
        <v>1</v>
      </c>
      <c r="P93" s="36">
        <f>IF(F74=0,0,MIN(F74,'Data Tables'!A297)*28)</f>
        <v>0</v>
      </c>
    </row>
    <row r="94" spans="1:16" x14ac:dyDescent="0.25">
      <c r="L94" s="34">
        <f>IF(A75&gt;$M$3-2,1,$M$4/VLOOKUP(A75,'Data Tables'!$A$157:$B$229,2,FALSE))</f>
        <v>1</v>
      </c>
      <c r="M94">
        <f>IF(B75=0,0,MIN(B75,'Data Tables'!B298)*L94)</f>
        <v>0</v>
      </c>
      <c r="O94">
        <f>IF(E75&gt;$P$3-2,1,$P$4/VLOOKUP(E75,'Data Tables'!$A$157:$B$229,2,FALSE))</f>
        <v>1</v>
      </c>
      <c r="P94" s="36">
        <f>IF(F75=0,0,MIN(F75,'Data Tables'!A298)*28)</f>
        <v>0</v>
      </c>
    </row>
    <row r="95" spans="1:16" x14ac:dyDescent="0.25">
      <c r="L95" s="34">
        <f>IF(A76&gt;$M$3-2,1,$M$4/VLOOKUP(A76,'Data Tables'!$A$157:$B$229,2,FALSE))</f>
        <v>1</v>
      </c>
      <c r="M95">
        <f>IF(B76=0,0,MIN(B76,'Data Tables'!B299)*L95)</f>
        <v>0</v>
      </c>
      <c r="O95">
        <f>IF(E76&gt;$P$3-2,1,$P$4/VLOOKUP(E76,'Data Tables'!$A$157:$B$229,2,FALSE))</f>
        <v>1</v>
      </c>
      <c r="P95" s="36">
        <f>IF(F76=0,0,MIN(F76,'Data Tables'!A299)*28)</f>
        <v>0</v>
      </c>
    </row>
    <row r="96" spans="1:16" x14ac:dyDescent="0.25">
      <c r="L96" s="34">
        <f>IF(A77&gt;$M$3-2,1,$M$4/VLOOKUP(A77,'Data Tables'!$A$157:$B$229,2,FALSE))</f>
        <v>1</v>
      </c>
      <c r="M96">
        <f>IF(B77=0,0,MIN(B77,'Data Tables'!B300)*L96)</f>
        <v>0</v>
      </c>
      <c r="O96">
        <f>IF(E77&gt;$P$3-2,1,$P$4/VLOOKUP(E77,'Data Tables'!$A$157:$B$229,2,FALSE))</f>
        <v>1</v>
      </c>
      <c r="P96" s="36">
        <f>IF(F77=0,0,MIN(F77,'Data Tables'!A300)*28)</f>
        <v>0</v>
      </c>
    </row>
    <row r="97" spans="12:16" x14ac:dyDescent="0.25">
      <c r="L97" s="34">
        <f>IF(A78&gt;$M$3-2,1,$M$4/VLOOKUP(A78,'Data Tables'!$A$157:$B$229,2,FALSE))</f>
        <v>1</v>
      </c>
      <c r="M97">
        <f>IF(B78=0,0,MIN(B78,'Data Tables'!B301)*L97)</f>
        <v>0</v>
      </c>
      <c r="O97">
        <f>IF(E78&gt;$P$3-2,1,$P$4/VLOOKUP(E78,'Data Tables'!$A$157:$B$229,2,FALSE))</f>
        <v>1</v>
      </c>
      <c r="P97" s="36">
        <f>IF(F78=0,0,MIN(F78,'Data Tables'!A301)*28)</f>
        <v>0</v>
      </c>
    </row>
    <row r="98" spans="12:16" x14ac:dyDescent="0.25">
      <c r="L98" s="34">
        <f>IF(A79&gt;$M$3-2,1,$M$4/VLOOKUP(A79,'Data Tables'!$A$157:$B$229,2,FALSE))</f>
        <v>1</v>
      </c>
      <c r="M98">
        <f>IF(B79=0,0,MIN(B79,'Data Tables'!B302)*L98)</f>
        <v>0</v>
      </c>
      <c r="O98">
        <f>IF(E79&gt;$P$3-2,1,$P$4/VLOOKUP(E79,'Data Tables'!$A$157:$B$229,2,FALSE))</f>
        <v>1</v>
      </c>
      <c r="P98" s="36">
        <f>IF(F79=0,0,MIN(F79,'Data Tables'!A302)*28)</f>
        <v>0</v>
      </c>
    </row>
    <row r="99" spans="12:16" x14ac:dyDescent="0.25">
      <c r="L99" s="34">
        <f>IF(A80&gt;$M$3-2,1,$M$4/VLOOKUP(A80,'Data Tables'!$A$157:$B$229,2,FALSE))</f>
        <v>1</v>
      </c>
      <c r="M99">
        <f>IF(B80=0,0,MIN(B80,'Data Tables'!B303)*L99)</f>
        <v>0</v>
      </c>
      <c r="O99">
        <f>IF(E80&gt;$P$3-2,1,$P$4/VLOOKUP(E80,'Data Tables'!$A$157:$B$229,2,FALSE))</f>
        <v>1</v>
      </c>
      <c r="P99" s="36">
        <f>IF(F80=0,0,MIN(F80,'Data Tables'!A303)*28)</f>
        <v>0</v>
      </c>
    </row>
    <row r="100" spans="12:16" x14ac:dyDescent="0.25">
      <c r="L100" s="34">
        <f>IF(A81&gt;$M$3-2,1,$M$4/VLOOKUP(A81,'Data Tables'!$A$157:$B$229,2,FALSE))</f>
        <v>1</v>
      </c>
      <c r="M100">
        <f>IF(B81=0,0,MIN(B81,'Data Tables'!B304)*L100)</f>
        <v>0</v>
      </c>
      <c r="O100">
        <f>IF(E81&gt;$P$3-2,1,$P$4/VLOOKUP(E81,'Data Tables'!$A$157:$B$229,2,FALSE))</f>
        <v>1</v>
      </c>
      <c r="P100" s="36">
        <f>IF(F81=0,0,MIN(F81,'Data Tables'!A304)*28)</f>
        <v>0</v>
      </c>
    </row>
    <row r="101" spans="12:16" x14ac:dyDescent="0.25">
      <c r="L101" s="34">
        <f>IF(A82&gt;$M$3-2,1,$M$4/VLOOKUP(A82,'Data Tables'!$A$157:$B$229,2,FALSE))</f>
        <v>1</v>
      </c>
      <c r="M101">
        <f>IF(B82=0,0,MIN(B82,'Data Tables'!B305)*L101)</f>
        <v>0</v>
      </c>
      <c r="O101">
        <f>IF(E82&gt;$P$3-2,1,$P$4/VLOOKUP(E82,'Data Tables'!$A$157:$B$229,2,FALSE))</f>
        <v>1</v>
      </c>
      <c r="P101" s="36">
        <f>IF(F82=0,0,MIN(F82,'Data Tables'!A305)*28)</f>
        <v>0</v>
      </c>
    </row>
    <row r="102" spans="12:16" x14ac:dyDescent="0.25">
      <c r="L102" s="34">
        <f>IF(A83&gt;$M$3-2,1,$M$4/VLOOKUP(A83,'Data Tables'!$A$157:$B$229,2,FALSE))</f>
        <v>1</v>
      </c>
      <c r="M102">
        <f>IF(B83=0,0,MIN(B83,'Data Tables'!B306)*L102)</f>
        <v>0</v>
      </c>
      <c r="O102">
        <f>IF(E83&gt;$P$3-2,1,$P$4/VLOOKUP(E83,'Data Tables'!$A$157:$B$229,2,FALSE))</f>
        <v>1</v>
      </c>
      <c r="P102" s="36">
        <f>IF(F83=0,0,MIN(F83,'Data Tables'!A306)*28)</f>
        <v>0</v>
      </c>
    </row>
    <row r="103" spans="12:16" ht="15.75" thickBot="1" x14ac:dyDescent="0.3">
      <c r="L103" s="46"/>
      <c r="M103" s="109">
        <f t="array" aca="1" ref="M103" ca="1">SUM(LARGE(M28:M102, ROW(INDIRECT("1:35"))))</f>
        <v>2192744.2903440725</v>
      </c>
      <c r="N103" s="109"/>
      <c r="O103" s="109"/>
      <c r="P103" s="47">
        <f t="array" aca="1" ref="P103" ca="1">SUM(LARGE(P28:P102, ROW(INDIRECT("1:35"))))</f>
        <v>219884</v>
      </c>
    </row>
  </sheetData>
  <sheetProtection algorithmName="SHA-512" hashValue="W+w5Ou0JU0/AGfvK8oIOankdw1IIWM3eudUJtRIWZT4RwYxBv+C5QKSi0hvDks+0fQT21UAe6Z+PuKXA78cBSw==" saltValue="6ohqcu/BrZFRn6DsYG7w4g==" spinCount="100000" sheet="1" objects="1" scenarios="1" selectLockedCells="1"/>
  <phoneticPr fontId="12" type="noConversion"/>
  <pageMargins left="0.25" right="0.25" top="0.75" bottom="0.75" header="0.3" footer="0.3"/>
  <pageSetup scale="55"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8E2C5A-05DD-4406-9502-3B78315B8369}">
  <dimension ref="A1:F307"/>
  <sheetViews>
    <sheetView topLeftCell="A24" workbookViewId="0">
      <selection activeCell="G36" sqref="G36"/>
    </sheetView>
  </sheetViews>
  <sheetFormatPr defaultColWidth="8.85546875" defaultRowHeight="15" x14ac:dyDescent="0.25"/>
  <cols>
    <col min="1" max="1" width="10.140625" bestFit="1" customWidth="1"/>
    <col min="4" max="4" width="11.7109375" customWidth="1"/>
  </cols>
  <sheetData>
    <row r="1" spans="1:2" x14ac:dyDescent="0.25">
      <c r="A1">
        <v>1938</v>
      </c>
      <c r="B1" s="8">
        <v>65.166666666666671</v>
      </c>
    </row>
    <row r="2" spans="1:2" x14ac:dyDescent="0.25">
      <c r="A2">
        <v>1939</v>
      </c>
      <c r="B2" s="8">
        <v>65.333333333333329</v>
      </c>
    </row>
    <row r="3" spans="1:2" x14ac:dyDescent="0.25">
      <c r="A3">
        <v>1940</v>
      </c>
      <c r="B3" s="7">
        <v>65.5</v>
      </c>
    </row>
    <row r="4" spans="1:2" x14ac:dyDescent="0.25">
      <c r="A4">
        <v>1941</v>
      </c>
      <c r="B4" s="8">
        <v>65.666666666666671</v>
      </c>
    </row>
    <row r="5" spans="1:2" x14ac:dyDescent="0.25">
      <c r="A5">
        <v>1942</v>
      </c>
      <c r="B5" s="8">
        <v>65.833333333333329</v>
      </c>
    </row>
    <row r="6" spans="1:2" x14ac:dyDescent="0.25">
      <c r="A6">
        <v>1943</v>
      </c>
      <c r="B6" s="8">
        <v>66</v>
      </c>
    </row>
    <row r="7" spans="1:2" x14ac:dyDescent="0.25">
      <c r="A7">
        <v>1944</v>
      </c>
      <c r="B7" s="8">
        <v>66</v>
      </c>
    </row>
    <row r="8" spans="1:2" x14ac:dyDescent="0.25">
      <c r="A8">
        <v>1945</v>
      </c>
      <c r="B8" s="8">
        <v>66</v>
      </c>
    </row>
    <row r="9" spans="1:2" x14ac:dyDescent="0.25">
      <c r="A9">
        <v>1946</v>
      </c>
      <c r="B9" s="8">
        <v>66</v>
      </c>
    </row>
    <row r="10" spans="1:2" x14ac:dyDescent="0.25">
      <c r="A10">
        <v>1947</v>
      </c>
      <c r="B10" s="8">
        <v>66</v>
      </c>
    </row>
    <row r="11" spans="1:2" x14ac:dyDescent="0.25">
      <c r="A11">
        <v>1948</v>
      </c>
      <c r="B11" s="7">
        <v>66</v>
      </c>
    </row>
    <row r="12" spans="1:2" x14ac:dyDescent="0.25">
      <c r="A12">
        <v>1949</v>
      </c>
      <c r="B12" s="7">
        <v>66</v>
      </c>
    </row>
    <row r="13" spans="1:2" x14ac:dyDescent="0.25">
      <c r="A13">
        <v>1950</v>
      </c>
      <c r="B13" s="7">
        <v>66</v>
      </c>
    </row>
    <row r="14" spans="1:2" x14ac:dyDescent="0.25">
      <c r="A14">
        <v>1951</v>
      </c>
      <c r="B14" s="7">
        <v>66</v>
      </c>
    </row>
    <row r="15" spans="1:2" x14ac:dyDescent="0.25">
      <c r="A15">
        <v>1952</v>
      </c>
      <c r="B15" s="7">
        <v>66</v>
      </c>
    </row>
    <row r="16" spans="1:2" x14ac:dyDescent="0.25">
      <c r="A16">
        <v>1953</v>
      </c>
      <c r="B16" s="7">
        <v>66</v>
      </c>
    </row>
    <row r="17" spans="1:3" x14ac:dyDescent="0.25">
      <c r="A17">
        <v>1954</v>
      </c>
      <c r="B17" s="7">
        <v>66</v>
      </c>
    </row>
    <row r="18" spans="1:3" x14ac:dyDescent="0.25">
      <c r="A18">
        <v>1955</v>
      </c>
      <c r="B18" s="7">
        <v>66.166666666666671</v>
      </c>
    </row>
    <row r="19" spans="1:3" x14ac:dyDescent="0.25">
      <c r="A19">
        <v>1956</v>
      </c>
      <c r="B19" s="7">
        <v>66.333333333333329</v>
      </c>
    </row>
    <row r="20" spans="1:3" x14ac:dyDescent="0.25">
      <c r="A20">
        <v>1957</v>
      </c>
      <c r="B20" s="7">
        <v>66.5</v>
      </c>
    </row>
    <row r="21" spans="1:3" x14ac:dyDescent="0.25">
      <c r="A21">
        <v>1958</v>
      </c>
      <c r="B21" s="7">
        <v>66.666666666666671</v>
      </c>
    </row>
    <row r="22" spans="1:3" x14ac:dyDescent="0.25">
      <c r="A22">
        <v>1959</v>
      </c>
      <c r="B22" s="8">
        <v>66.833333333333329</v>
      </c>
    </row>
    <row r="23" spans="1:3" x14ac:dyDescent="0.25">
      <c r="A23">
        <v>1960</v>
      </c>
      <c r="B23" s="7">
        <v>67</v>
      </c>
    </row>
    <row r="26" spans="1:3" x14ac:dyDescent="0.25">
      <c r="A26" t="s">
        <v>118</v>
      </c>
    </row>
    <row r="27" spans="1:3" x14ac:dyDescent="0.25">
      <c r="A27">
        <v>1933</v>
      </c>
      <c r="B27">
        <f>0.055/12</f>
        <v>4.5833333333333334E-3</v>
      </c>
      <c r="C27">
        <f t="shared" ref="C27:C36" si="0">B27*12</f>
        <v>5.5E-2</v>
      </c>
    </row>
    <row r="28" spans="1:3" x14ac:dyDescent="0.25">
      <c r="A28">
        <v>1934</v>
      </c>
      <c r="B28">
        <f>0.055/12</f>
        <v>4.5833333333333334E-3</v>
      </c>
      <c r="C28">
        <f t="shared" si="0"/>
        <v>5.5E-2</v>
      </c>
    </row>
    <row r="29" spans="1:3" x14ac:dyDescent="0.25">
      <c r="A29">
        <v>1935</v>
      </c>
      <c r="B29">
        <f>0.06/12</f>
        <v>5.0000000000000001E-3</v>
      </c>
      <c r="C29">
        <f t="shared" si="0"/>
        <v>0.06</v>
      </c>
    </row>
    <row r="30" spans="1:3" x14ac:dyDescent="0.25">
      <c r="A30">
        <v>1936</v>
      </c>
      <c r="B30">
        <f>0.06/12</f>
        <v>5.0000000000000001E-3</v>
      </c>
      <c r="C30">
        <f t="shared" si="0"/>
        <v>0.06</v>
      </c>
    </row>
    <row r="31" spans="1:3" x14ac:dyDescent="0.25">
      <c r="A31">
        <v>1937</v>
      </c>
      <c r="B31">
        <f>0.065/12</f>
        <v>5.4166666666666669E-3</v>
      </c>
      <c r="C31">
        <f t="shared" si="0"/>
        <v>6.5000000000000002E-2</v>
      </c>
    </row>
    <row r="32" spans="1:3" x14ac:dyDescent="0.25">
      <c r="A32">
        <v>1938</v>
      </c>
      <c r="B32">
        <f>0.065/12</f>
        <v>5.4166666666666669E-3</v>
      </c>
      <c r="C32">
        <f t="shared" si="0"/>
        <v>6.5000000000000002E-2</v>
      </c>
    </row>
    <row r="33" spans="1:6" x14ac:dyDescent="0.25">
      <c r="A33">
        <v>1939</v>
      </c>
      <c r="B33">
        <f>0.07/12</f>
        <v>5.8333333333333336E-3</v>
      </c>
      <c r="C33">
        <f t="shared" si="0"/>
        <v>7.0000000000000007E-2</v>
      </c>
    </row>
    <row r="34" spans="1:6" x14ac:dyDescent="0.25">
      <c r="A34">
        <v>1940</v>
      </c>
      <c r="B34">
        <f>0.07/12</f>
        <v>5.8333333333333336E-3</v>
      </c>
      <c r="C34">
        <f t="shared" si="0"/>
        <v>7.0000000000000007E-2</v>
      </c>
    </row>
    <row r="35" spans="1:6" x14ac:dyDescent="0.25">
      <c r="A35">
        <v>1941</v>
      </c>
      <c r="B35">
        <f>0.075/12</f>
        <v>6.2499999999999995E-3</v>
      </c>
      <c r="C35">
        <f t="shared" si="0"/>
        <v>7.4999999999999997E-2</v>
      </c>
    </row>
    <row r="36" spans="1:6" x14ac:dyDescent="0.25">
      <c r="A36">
        <v>1942</v>
      </c>
      <c r="B36">
        <f>0.075/12</f>
        <v>6.2499999999999995E-3</v>
      </c>
      <c r="C36">
        <f t="shared" si="0"/>
        <v>7.4999999999999997E-2</v>
      </c>
    </row>
    <row r="37" spans="1:6" x14ac:dyDescent="0.25">
      <c r="A37">
        <v>1943</v>
      </c>
      <c r="B37">
        <f>0.08/12</f>
        <v>6.6666666666666671E-3</v>
      </c>
      <c r="C37">
        <f>B37*12</f>
        <v>0.08</v>
      </c>
    </row>
    <row r="39" spans="1:6" ht="15.75" thickBot="1" x14ac:dyDescent="0.3">
      <c r="A39" t="s">
        <v>119</v>
      </c>
    </row>
    <row r="40" spans="1:6" ht="16.5" thickBot="1" x14ac:dyDescent="0.3">
      <c r="A40" s="9">
        <v>1979</v>
      </c>
      <c r="B40" s="10">
        <v>180</v>
      </c>
      <c r="C40" s="10">
        <v>1085</v>
      </c>
      <c r="D40" s="10">
        <f t="shared" ref="D40:D86" si="1">C40*D91</f>
        <v>6704.0529180996082</v>
      </c>
      <c r="E40" s="10"/>
      <c r="F40" s="10"/>
    </row>
    <row r="41" spans="1:6" ht="16.5" thickBot="1" x14ac:dyDescent="0.3">
      <c r="A41" s="9">
        <v>1980</v>
      </c>
      <c r="B41" s="11">
        <v>194</v>
      </c>
      <c r="C41" s="12">
        <v>1171</v>
      </c>
      <c r="D41" s="10">
        <f t="shared" si="1"/>
        <v>6699.4759917175625</v>
      </c>
      <c r="E41" s="11"/>
      <c r="F41" s="11"/>
    </row>
    <row r="42" spans="1:6" ht="16.5" thickBot="1" x14ac:dyDescent="0.3">
      <c r="A42" s="9">
        <v>1981</v>
      </c>
      <c r="B42" s="11">
        <v>211</v>
      </c>
      <c r="C42" s="12">
        <v>1274</v>
      </c>
      <c r="D42" s="10">
        <f t="shared" si="1"/>
        <v>6850.3338941783695</v>
      </c>
      <c r="E42" s="11"/>
      <c r="F42" s="11"/>
    </row>
    <row r="43" spans="1:6" ht="16.5" thickBot="1" x14ac:dyDescent="0.3">
      <c r="A43" s="9">
        <v>1982</v>
      </c>
      <c r="B43" s="11">
        <v>230</v>
      </c>
      <c r="C43" s="12">
        <v>1388</v>
      </c>
      <c r="D43" s="10">
        <f t="shared" si="1"/>
        <v>7047.5119037387385</v>
      </c>
      <c r="E43" s="11"/>
      <c r="F43" s="11"/>
    </row>
    <row r="44" spans="1:6" ht="16.5" thickBot="1" x14ac:dyDescent="0.3">
      <c r="A44" s="9">
        <v>1983</v>
      </c>
      <c r="B44" s="11">
        <v>254</v>
      </c>
      <c r="C44" s="12">
        <v>1528</v>
      </c>
      <c r="D44" s="10">
        <f t="shared" si="1"/>
        <v>7284.8413557608428</v>
      </c>
      <c r="E44" s="11"/>
      <c r="F44" s="11"/>
    </row>
    <row r="45" spans="1:6" ht="16.5" thickBot="1" x14ac:dyDescent="0.3">
      <c r="A45" s="9">
        <v>1984</v>
      </c>
      <c r="B45" s="11">
        <v>267</v>
      </c>
      <c r="C45" s="12">
        <v>1612</v>
      </c>
      <c r="D45" s="10">
        <f t="shared" si="1"/>
        <v>6993.0090333706985</v>
      </c>
      <c r="E45" s="11"/>
      <c r="F45" s="11"/>
    </row>
    <row r="46" spans="1:6" ht="16.5" thickBot="1" x14ac:dyDescent="0.3">
      <c r="A46" s="9">
        <v>1985</v>
      </c>
      <c r="B46" s="11">
        <v>280</v>
      </c>
      <c r="C46" s="12">
        <v>1691</v>
      </c>
      <c r="D46" s="10">
        <f t="shared" si="1"/>
        <v>6417.9514725678646</v>
      </c>
      <c r="E46" s="11"/>
      <c r="F46" s="11"/>
    </row>
    <row r="47" spans="1:6" ht="16.5" thickBot="1" x14ac:dyDescent="0.3">
      <c r="A47" s="9">
        <v>1986</v>
      </c>
      <c r="B47" s="11">
        <v>297</v>
      </c>
      <c r="C47" s="12">
        <v>1790</v>
      </c>
      <c r="D47" s="10">
        <f t="shared" si="1"/>
        <v>6109.4352325985628</v>
      </c>
      <c r="E47" s="11"/>
      <c r="F47" s="11"/>
    </row>
    <row r="48" spans="1:6" ht="16.5" thickBot="1" x14ac:dyDescent="0.3">
      <c r="A48" s="9">
        <v>1987</v>
      </c>
      <c r="B48" s="11">
        <v>310</v>
      </c>
      <c r="C48" s="12">
        <v>1866</v>
      </c>
      <c r="D48" s="10">
        <f t="shared" si="1"/>
        <v>5930.0095419560976</v>
      </c>
      <c r="E48" s="11"/>
      <c r="F48" s="11"/>
    </row>
    <row r="49" spans="1:6" ht="16.5" thickBot="1" x14ac:dyDescent="0.3">
      <c r="A49" s="9">
        <v>1988</v>
      </c>
      <c r="B49" s="11">
        <v>319</v>
      </c>
      <c r="C49" s="12">
        <v>1922</v>
      </c>
      <c r="D49" s="10">
        <f t="shared" si="1"/>
        <v>5901.423562058716</v>
      </c>
      <c r="E49" s="11"/>
      <c r="F49" s="11"/>
    </row>
    <row r="50" spans="1:6" ht="16.5" thickBot="1" x14ac:dyDescent="0.3">
      <c r="A50" s="9">
        <v>1989</v>
      </c>
      <c r="B50" s="11">
        <v>339</v>
      </c>
      <c r="C50" s="12">
        <v>2044</v>
      </c>
      <c r="D50" s="10">
        <f t="shared" si="1"/>
        <v>6063.787098205883</v>
      </c>
      <c r="E50" s="11"/>
      <c r="F50" s="11"/>
    </row>
    <row r="51" spans="1:6" ht="16.5" thickBot="1" x14ac:dyDescent="0.3">
      <c r="A51" s="9">
        <v>1990</v>
      </c>
      <c r="B51" s="11">
        <v>356</v>
      </c>
      <c r="C51" s="12">
        <v>2145</v>
      </c>
      <c r="D51" s="10">
        <f t="shared" si="1"/>
        <v>6172.0819590975361</v>
      </c>
      <c r="E51" s="11"/>
      <c r="F51" s="11"/>
    </row>
    <row r="52" spans="1:6" ht="16.5" thickBot="1" x14ac:dyDescent="0.3">
      <c r="A52" s="9">
        <v>1991</v>
      </c>
      <c r="B52" s="11">
        <v>370</v>
      </c>
      <c r="C52" s="12">
        <v>2230</v>
      </c>
      <c r="D52" s="10">
        <f t="shared" si="1"/>
        <v>6334.3171722330026</v>
      </c>
      <c r="E52" s="11"/>
      <c r="F52" s="11"/>
    </row>
    <row r="53" spans="1:6" ht="16.5" thickBot="1" x14ac:dyDescent="0.3">
      <c r="A53" s="9">
        <v>1992</v>
      </c>
      <c r="B53" s="11">
        <v>387</v>
      </c>
      <c r="C53" s="12">
        <v>2333</v>
      </c>
      <c r="D53" s="10">
        <f t="shared" si="1"/>
        <v>6359.7780926725909</v>
      </c>
      <c r="E53" s="11"/>
      <c r="F53" s="11"/>
    </row>
    <row r="54" spans="1:6" ht="16.5" thickBot="1" x14ac:dyDescent="0.3">
      <c r="A54" s="9">
        <v>1993</v>
      </c>
      <c r="B54" s="11">
        <v>401</v>
      </c>
      <c r="C54" s="12">
        <v>2420</v>
      </c>
      <c r="D54" s="10">
        <f t="shared" si="1"/>
        <v>6343.2123480281543</v>
      </c>
      <c r="E54" s="11"/>
      <c r="F54" s="11"/>
    </row>
    <row r="55" spans="1:6" ht="16.5" thickBot="1" x14ac:dyDescent="0.3">
      <c r="A55" s="9">
        <v>1994</v>
      </c>
      <c r="B55" s="11">
        <v>422</v>
      </c>
      <c r="C55" s="12">
        <v>2545</v>
      </c>
      <c r="D55" s="10">
        <f t="shared" si="1"/>
        <v>6371.4017325106979</v>
      </c>
      <c r="E55" s="11"/>
      <c r="F55" s="12"/>
    </row>
    <row r="56" spans="1:6" ht="16.5" thickBot="1" x14ac:dyDescent="0.3">
      <c r="A56" s="9">
        <v>1995</v>
      </c>
      <c r="B56" s="11">
        <v>426</v>
      </c>
      <c r="C56" s="12">
        <v>2567</v>
      </c>
      <c r="D56" s="10">
        <f t="shared" si="1"/>
        <v>6097.2283516643338</v>
      </c>
      <c r="E56" s="11"/>
      <c r="F56" s="12"/>
    </row>
    <row r="57" spans="1:6" ht="16.5" thickBot="1" x14ac:dyDescent="0.3">
      <c r="A57" s="9">
        <v>1996</v>
      </c>
      <c r="B57" s="11">
        <v>437</v>
      </c>
      <c r="C57" s="12">
        <v>2635</v>
      </c>
      <c r="D57" s="10">
        <f t="shared" si="1"/>
        <v>6035.4333023046102</v>
      </c>
      <c r="E57" s="11"/>
      <c r="F57" s="12"/>
    </row>
    <row r="58" spans="1:6" ht="16.5" thickBot="1" x14ac:dyDescent="0.3">
      <c r="A58" s="9">
        <v>1997</v>
      </c>
      <c r="B58" s="11">
        <v>455</v>
      </c>
      <c r="C58" s="12">
        <v>2741</v>
      </c>
      <c r="D58" s="10">
        <f t="shared" si="1"/>
        <v>6095.3640064173223</v>
      </c>
      <c r="E58" s="11"/>
      <c r="F58" s="12"/>
    </row>
    <row r="59" spans="1:6" ht="16.5" thickBot="1" x14ac:dyDescent="0.3">
      <c r="A59" s="9">
        <v>1998</v>
      </c>
      <c r="B59" s="11">
        <v>477</v>
      </c>
      <c r="C59" s="12">
        <v>2875</v>
      </c>
      <c r="D59" s="10">
        <f t="shared" si="1"/>
        <v>6231.3349869641779</v>
      </c>
      <c r="E59" s="11"/>
      <c r="F59" s="12"/>
    </row>
    <row r="60" spans="1:6" ht="16.5" thickBot="1" x14ac:dyDescent="0.3">
      <c r="A60" s="9">
        <v>1999</v>
      </c>
      <c r="B60" s="11">
        <v>505</v>
      </c>
      <c r="C60" s="12">
        <v>3043</v>
      </c>
      <c r="D60" s="10">
        <f t="shared" si="1"/>
        <v>6415.818766818471</v>
      </c>
      <c r="E60" s="11"/>
      <c r="F60" s="12"/>
    </row>
    <row r="61" spans="1:6" ht="16.5" thickBot="1" x14ac:dyDescent="0.3">
      <c r="A61" s="9">
        <v>2000</v>
      </c>
      <c r="B61" s="11">
        <v>531</v>
      </c>
      <c r="C61" s="12">
        <v>3202</v>
      </c>
      <c r="D61" s="10">
        <f t="shared" si="1"/>
        <v>6579.9728553990408</v>
      </c>
      <c r="E61" s="11"/>
      <c r="F61" s="12"/>
    </row>
    <row r="62" spans="1:6" ht="16.5" thickBot="1" x14ac:dyDescent="0.3">
      <c r="A62" s="9">
        <v>2001</v>
      </c>
      <c r="B62" s="11">
        <v>561</v>
      </c>
      <c r="C62" s="12">
        <v>3381</v>
      </c>
      <c r="D62" s="10">
        <f t="shared" si="1"/>
        <v>6752.0021269821509</v>
      </c>
      <c r="E62" s="12"/>
      <c r="F62" s="12"/>
    </row>
    <row r="63" spans="1:6" ht="16.5" thickBot="1" x14ac:dyDescent="0.3">
      <c r="A63" s="9">
        <v>2002</v>
      </c>
      <c r="B63" s="11">
        <v>592</v>
      </c>
      <c r="C63" s="12">
        <v>3567</v>
      </c>
      <c r="D63" s="10">
        <f t="shared" si="1"/>
        <v>6976.9364455413934</v>
      </c>
      <c r="E63" s="12"/>
      <c r="F63" s="12"/>
    </row>
    <row r="64" spans="1:6" ht="16.5" thickBot="1" x14ac:dyDescent="0.3">
      <c r="A64" s="9">
        <v>2003</v>
      </c>
      <c r="B64" s="11">
        <v>606</v>
      </c>
      <c r="C64" s="12">
        <v>3653</v>
      </c>
      <c r="D64" s="10">
        <f t="shared" si="1"/>
        <v>7053.4547478138038</v>
      </c>
      <c r="E64" s="12"/>
      <c r="F64" s="12"/>
    </row>
    <row r="65" spans="1:6" ht="16.5" thickBot="1" x14ac:dyDescent="0.3">
      <c r="A65" s="9">
        <v>2004</v>
      </c>
      <c r="B65" s="11">
        <v>612</v>
      </c>
      <c r="C65" s="12">
        <v>3689</v>
      </c>
      <c r="D65" s="10">
        <f t="shared" si="1"/>
        <v>6949.2350596396209</v>
      </c>
      <c r="E65" s="12"/>
      <c r="F65" s="12"/>
    </row>
    <row r="66" spans="1:6" ht="16.5" thickBot="1" x14ac:dyDescent="0.3">
      <c r="A66" s="9">
        <v>2005</v>
      </c>
      <c r="B66" s="11">
        <v>627</v>
      </c>
      <c r="C66" s="12">
        <v>3779</v>
      </c>
      <c r="D66" s="10">
        <f t="shared" si="1"/>
        <v>6878.0430370426584</v>
      </c>
      <c r="E66" s="12"/>
      <c r="F66" s="12"/>
    </row>
    <row r="67" spans="1:6" ht="16.5" thickBot="1" x14ac:dyDescent="0.3">
      <c r="A67" s="9">
        <v>2006</v>
      </c>
      <c r="B67" s="11">
        <v>656</v>
      </c>
      <c r="C67" s="12">
        <v>3955</v>
      </c>
      <c r="D67" s="10">
        <f t="shared" si="1"/>
        <v>7015.9603192114091</v>
      </c>
      <c r="E67" s="12"/>
      <c r="F67" s="12"/>
    </row>
    <row r="68" spans="1:6" ht="16.5" thickBot="1" x14ac:dyDescent="0.3">
      <c r="A68" s="9">
        <v>2007</v>
      </c>
      <c r="B68" s="11">
        <v>680</v>
      </c>
      <c r="C68" s="12">
        <v>4100</v>
      </c>
      <c r="D68" s="10">
        <f t="shared" si="1"/>
        <v>7172.7639366858366</v>
      </c>
      <c r="E68" s="12"/>
      <c r="F68" s="12"/>
    </row>
    <row r="69" spans="1:6" ht="16.5" thickBot="1" x14ac:dyDescent="0.3">
      <c r="A69" s="9">
        <v>2008</v>
      </c>
      <c r="B69" s="11">
        <v>711</v>
      </c>
      <c r="C69" s="12">
        <v>4288</v>
      </c>
      <c r="D69" s="10">
        <f t="shared" si="1"/>
        <v>7347.3667042136767</v>
      </c>
      <c r="E69" s="12"/>
      <c r="F69" s="12"/>
    </row>
    <row r="70" spans="1:6" ht="16.5" thickBot="1" x14ac:dyDescent="0.3">
      <c r="A70" s="9">
        <v>2009</v>
      </c>
      <c r="B70" s="11">
        <v>744</v>
      </c>
      <c r="C70" s="12">
        <v>4483</v>
      </c>
      <c r="D70" s="10">
        <f t="shared" si="1"/>
        <v>7479.5459476117585</v>
      </c>
      <c r="E70" s="12"/>
      <c r="F70" s="12"/>
    </row>
    <row r="71" spans="1:6" ht="16.5" thickBot="1" x14ac:dyDescent="0.3">
      <c r="A71" s="9">
        <v>2010</v>
      </c>
      <c r="B71" s="11">
        <v>761</v>
      </c>
      <c r="C71" s="12">
        <v>4586</v>
      </c>
      <c r="D71" s="10">
        <f t="shared" si="1"/>
        <v>7350.0419271495985</v>
      </c>
      <c r="E71" s="12"/>
      <c r="F71" s="12"/>
    </row>
    <row r="72" spans="1:6" ht="16.5" thickBot="1" x14ac:dyDescent="0.3">
      <c r="A72" s="9">
        <v>2011</v>
      </c>
      <c r="B72" s="11">
        <v>749</v>
      </c>
      <c r="C72" s="12">
        <v>4517</v>
      </c>
      <c r="D72" s="10">
        <f t="shared" si="1"/>
        <v>7008.1846355347116</v>
      </c>
      <c r="E72" s="12"/>
      <c r="F72" s="12"/>
    </row>
    <row r="73" spans="1:6" ht="16.5" thickBot="1" x14ac:dyDescent="0.3">
      <c r="A73" s="9">
        <v>2012</v>
      </c>
      <c r="B73" s="11">
        <v>767</v>
      </c>
      <c r="C73" s="12">
        <v>4624</v>
      </c>
      <c r="D73" s="10">
        <f t="shared" si="1"/>
        <v>7012.8998400335577</v>
      </c>
      <c r="E73" s="12"/>
      <c r="F73" s="12"/>
    </row>
    <row r="74" spans="1:6" ht="16.5" thickBot="1" x14ac:dyDescent="0.3">
      <c r="A74" s="9">
        <v>2013</v>
      </c>
      <c r="B74" s="11">
        <v>791</v>
      </c>
      <c r="C74" s="12">
        <v>4768</v>
      </c>
      <c r="D74" s="10">
        <f t="shared" si="1"/>
        <v>6834.8720649721035</v>
      </c>
      <c r="E74" s="12"/>
      <c r="F74" s="12"/>
    </row>
    <row r="75" spans="1:6" ht="16.5" thickBot="1" x14ac:dyDescent="0.3">
      <c r="A75" s="9">
        <v>2014</v>
      </c>
      <c r="B75" s="11">
        <v>816</v>
      </c>
      <c r="C75" s="12">
        <v>4917</v>
      </c>
      <c r="D75" s="10">
        <f t="shared" si="1"/>
        <v>7048.4618170024814</v>
      </c>
      <c r="E75" s="12"/>
      <c r="F75" s="12"/>
    </row>
    <row r="76" spans="1:6" ht="16.5" thickBot="1" x14ac:dyDescent="0.3">
      <c r="A76" s="9">
        <v>2015</v>
      </c>
      <c r="B76" s="11">
        <v>826</v>
      </c>
      <c r="C76" s="12">
        <v>4980</v>
      </c>
      <c r="D76" s="10">
        <f t="shared" si="1"/>
        <v>7138.7715779280779</v>
      </c>
      <c r="E76" s="12"/>
      <c r="F76" s="12"/>
    </row>
    <row r="77" spans="1:6" ht="16.5" thickBot="1" x14ac:dyDescent="0.3">
      <c r="A77" s="9">
        <v>2016</v>
      </c>
      <c r="B77" s="11">
        <v>856</v>
      </c>
      <c r="C77" s="12">
        <v>5157</v>
      </c>
      <c r="D77" s="10">
        <f t="shared" si="1"/>
        <v>7135.6167967962774</v>
      </c>
      <c r="E77" s="12"/>
      <c r="F77" s="12"/>
    </row>
    <row r="78" spans="1:6" ht="16.5" thickBot="1" x14ac:dyDescent="0.3">
      <c r="A78" s="9">
        <v>2017</v>
      </c>
      <c r="B78" s="11">
        <v>885</v>
      </c>
      <c r="C78" s="12">
        <v>5336</v>
      </c>
      <c r="D78" s="10">
        <f t="shared" si="1"/>
        <v>7259.8768821645253</v>
      </c>
      <c r="E78" s="12"/>
      <c r="F78" s="12"/>
    </row>
    <row r="79" spans="1:6" ht="16.5" thickBot="1" x14ac:dyDescent="0.3">
      <c r="A79" s="9">
        <v>2018</v>
      </c>
      <c r="B79" s="11">
        <v>895</v>
      </c>
      <c r="C79" s="12">
        <v>5397</v>
      </c>
      <c r="D79" s="10">
        <f t="shared" si="1"/>
        <v>7234.3549037750727</v>
      </c>
      <c r="E79" s="12"/>
      <c r="F79" s="12"/>
    </row>
    <row r="80" spans="1:6" ht="16.5" thickBot="1" x14ac:dyDescent="0.3">
      <c r="A80" s="9">
        <v>2019</v>
      </c>
      <c r="B80" s="11">
        <v>926</v>
      </c>
      <c r="C80" s="12">
        <v>5583</v>
      </c>
      <c r="D80" s="10">
        <f t="shared" si="1"/>
        <v>7358.580876585218</v>
      </c>
      <c r="E80" s="12"/>
      <c r="F80" s="12"/>
    </row>
    <row r="81" spans="1:6" ht="16.5" thickBot="1" x14ac:dyDescent="0.3">
      <c r="A81" s="9">
        <v>2020</v>
      </c>
      <c r="B81" s="11">
        <v>960</v>
      </c>
      <c r="C81" s="12">
        <v>5785</v>
      </c>
      <c r="D81" s="10">
        <f t="shared" si="1"/>
        <v>7624.8236380163862</v>
      </c>
      <c r="E81" s="12"/>
      <c r="F81" s="12"/>
    </row>
    <row r="82" spans="1:6" ht="16.5" thickBot="1" x14ac:dyDescent="0.3">
      <c r="A82" s="9">
        <v>2021</v>
      </c>
      <c r="B82" s="11">
        <v>996</v>
      </c>
      <c r="C82" s="12">
        <v>6002</v>
      </c>
      <c r="D82" s="10">
        <f t="shared" si="1"/>
        <v>7887.1753754078054</v>
      </c>
      <c r="E82" s="12"/>
      <c r="F82" s="12"/>
    </row>
    <row r="83" spans="1:6" ht="16.5" thickBot="1" x14ac:dyDescent="0.3">
      <c r="A83" s="9">
        <v>2022</v>
      </c>
      <c r="B83" s="12">
        <v>1024</v>
      </c>
      <c r="C83" s="12">
        <v>6172</v>
      </c>
      <c r="D83" s="10">
        <f t="shared" si="1"/>
        <v>7951.5400776566266</v>
      </c>
      <c r="E83" s="12"/>
      <c r="F83" s="12"/>
    </row>
    <row r="84" spans="1:6" ht="16.5" thickBot="1" x14ac:dyDescent="0.3">
      <c r="A84" s="9">
        <v>2023</v>
      </c>
      <c r="B84" s="12">
        <v>1115</v>
      </c>
      <c r="C84" s="12">
        <v>6721</v>
      </c>
      <c r="D84" s="10">
        <f t="shared" si="1"/>
        <v>8422.9867126060362</v>
      </c>
      <c r="E84" s="12"/>
      <c r="F84" s="12"/>
    </row>
    <row r="85" spans="1:6" ht="16.5" thickBot="1" x14ac:dyDescent="0.3">
      <c r="A85" s="9">
        <v>2024</v>
      </c>
      <c r="B85" s="12">
        <v>1174</v>
      </c>
      <c r="C85" s="12">
        <v>7078</v>
      </c>
      <c r="D85" s="10">
        <f t="shared" si="1"/>
        <v>8730.7001020168209</v>
      </c>
      <c r="E85" s="12"/>
      <c r="F85" s="12"/>
    </row>
    <row r="86" spans="1:6" ht="16.5" thickBot="1" x14ac:dyDescent="0.3">
      <c r="A86" s="9">
        <v>2025</v>
      </c>
      <c r="B86" s="12">
        <v>1226</v>
      </c>
      <c r="C86" s="12">
        <v>7391</v>
      </c>
      <c r="D86" s="10">
        <f t="shared" si="1"/>
        <v>8999.787790373397</v>
      </c>
      <c r="E86" s="12"/>
      <c r="F86" s="12"/>
    </row>
    <row r="90" spans="1:6" ht="15.75" thickBot="1" x14ac:dyDescent="0.3">
      <c r="A90" t="s">
        <v>120</v>
      </c>
      <c r="D90" t="s">
        <v>121</v>
      </c>
    </row>
    <row r="91" spans="1:6" ht="15.75" thickTop="1" x14ac:dyDescent="0.25">
      <c r="A91" s="1">
        <v>1975</v>
      </c>
      <c r="B91" s="2">
        <v>8</v>
      </c>
      <c r="C91">
        <f>1+B91/100</f>
        <v>1.08</v>
      </c>
      <c r="D91">
        <f t="shared" ref="D91:D138" si="2">C91*D92</f>
        <v>6.1788506157600072</v>
      </c>
    </row>
    <row r="92" spans="1:6" x14ac:dyDescent="0.25">
      <c r="A92" s="3">
        <v>1976</v>
      </c>
      <c r="B92" s="4">
        <v>6.4</v>
      </c>
      <c r="C92">
        <f t="shared" ref="C92:C141" si="3">1+B92/100</f>
        <v>1.0640000000000001</v>
      </c>
      <c r="D92">
        <f t="shared" si="2"/>
        <v>5.7211579775555617</v>
      </c>
    </row>
    <row r="93" spans="1:6" x14ac:dyDescent="0.25">
      <c r="A93" s="3">
        <v>1977</v>
      </c>
      <c r="B93" s="4">
        <v>5.9</v>
      </c>
      <c r="C93">
        <f t="shared" si="3"/>
        <v>1.0589999999999999</v>
      </c>
      <c r="D93">
        <f t="shared" si="2"/>
        <v>5.3770281743943249</v>
      </c>
    </row>
    <row r="94" spans="1:6" x14ac:dyDescent="0.25">
      <c r="A94" s="3">
        <v>1978</v>
      </c>
      <c r="B94" s="4">
        <v>6.5</v>
      </c>
      <c r="C94">
        <f t="shared" si="3"/>
        <v>1.0649999999999999</v>
      </c>
      <c r="D94">
        <f t="shared" si="2"/>
        <v>5.0774581439039901</v>
      </c>
    </row>
    <row r="95" spans="1:6" x14ac:dyDescent="0.25">
      <c r="A95" s="3">
        <v>1979</v>
      </c>
      <c r="B95" s="4">
        <v>9.9</v>
      </c>
      <c r="C95">
        <f t="shared" si="3"/>
        <v>1.099</v>
      </c>
      <c r="D95">
        <f t="shared" si="2"/>
        <v>4.7675663323042166</v>
      </c>
    </row>
    <row r="96" spans="1:6" x14ac:dyDescent="0.25">
      <c r="A96" s="3">
        <v>1980</v>
      </c>
      <c r="B96" s="4">
        <v>14.3</v>
      </c>
      <c r="C96">
        <f t="shared" si="3"/>
        <v>1.143</v>
      </c>
      <c r="D96">
        <f t="shared" si="2"/>
        <v>4.3380949338527905</v>
      </c>
    </row>
    <row r="97" spans="1:4" x14ac:dyDescent="0.25">
      <c r="A97" s="3">
        <v>1981</v>
      </c>
      <c r="B97" s="4">
        <v>11.2</v>
      </c>
      <c r="C97">
        <f t="shared" si="3"/>
        <v>1.1120000000000001</v>
      </c>
      <c r="D97">
        <f t="shared" si="2"/>
        <v>3.7953586472902807</v>
      </c>
    </row>
    <row r="98" spans="1:4" x14ac:dyDescent="0.25">
      <c r="A98" s="3">
        <v>1982</v>
      </c>
      <c r="B98" s="4">
        <v>7.4</v>
      </c>
      <c r="C98">
        <f t="shared" si="3"/>
        <v>1.0740000000000001</v>
      </c>
      <c r="D98">
        <f t="shared" si="2"/>
        <v>3.413092308714281</v>
      </c>
    </row>
    <row r="99" spans="1:4" x14ac:dyDescent="0.25">
      <c r="A99" s="3">
        <v>1983</v>
      </c>
      <c r="B99" s="4">
        <v>3.5</v>
      </c>
      <c r="C99">
        <f t="shared" si="3"/>
        <v>1.0349999999999999</v>
      </c>
      <c r="D99">
        <f t="shared" si="2"/>
        <v>3.1779257995477477</v>
      </c>
    </row>
    <row r="100" spans="1:4" x14ac:dyDescent="0.25">
      <c r="A100" s="3">
        <v>1984</v>
      </c>
      <c r="B100" s="4">
        <v>3.5</v>
      </c>
      <c r="C100">
        <f t="shared" si="3"/>
        <v>1.0349999999999999</v>
      </c>
      <c r="D100">
        <f t="shared" si="2"/>
        <v>3.0704597097079689</v>
      </c>
    </row>
    <row r="101" spans="1:4" x14ac:dyDescent="0.25">
      <c r="A101" s="3">
        <v>1985</v>
      </c>
      <c r="B101" s="4">
        <v>3.1</v>
      </c>
      <c r="C101">
        <f t="shared" si="3"/>
        <v>1.0309999999999999</v>
      </c>
      <c r="D101">
        <f t="shared" si="2"/>
        <v>2.9666277388482793</v>
      </c>
    </row>
    <row r="102" spans="1:4" x14ac:dyDescent="0.25">
      <c r="A102" s="3">
        <v>1986</v>
      </c>
      <c r="B102" s="4">
        <v>1.3</v>
      </c>
      <c r="C102">
        <f t="shared" si="3"/>
        <v>1.0129999999999999</v>
      </c>
      <c r="D102">
        <f t="shared" si="2"/>
        <v>2.8774274867587581</v>
      </c>
    </row>
    <row r="103" spans="1:4" x14ac:dyDescent="0.25">
      <c r="A103" s="3">
        <v>1987</v>
      </c>
      <c r="B103" s="4">
        <v>4.2</v>
      </c>
      <c r="C103">
        <f t="shared" si="3"/>
        <v>1.042</v>
      </c>
      <c r="D103">
        <f t="shared" si="2"/>
        <v>2.8405009740955167</v>
      </c>
    </row>
    <row r="104" spans="1:4" x14ac:dyDescent="0.25">
      <c r="A104" s="3">
        <v>1988</v>
      </c>
      <c r="B104" s="4">
        <v>4</v>
      </c>
      <c r="C104">
        <f t="shared" si="3"/>
        <v>1.04</v>
      </c>
      <c r="D104">
        <f t="shared" si="2"/>
        <v>2.7260086123757357</v>
      </c>
    </row>
    <row r="105" spans="1:4" x14ac:dyDescent="0.25">
      <c r="A105" s="3">
        <v>1989</v>
      </c>
      <c r="B105" s="4">
        <v>4.7</v>
      </c>
      <c r="C105">
        <f t="shared" si="3"/>
        <v>1.0469999999999999</v>
      </c>
      <c r="D105">
        <f t="shared" si="2"/>
        <v>2.6211621272843613</v>
      </c>
    </row>
    <row r="106" spans="1:4" x14ac:dyDescent="0.25">
      <c r="A106" s="3">
        <v>1990</v>
      </c>
      <c r="B106" s="4">
        <v>5.4</v>
      </c>
      <c r="C106">
        <f t="shared" si="3"/>
        <v>1.054</v>
      </c>
      <c r="D106">
        <f t="shared" si="2"/>
        <v>2.5034977337959519</v>
      </c>
    </row>
    <row r="107" spans="1:4" x14ac:dyDescent="0.25">
      <c r="A107" s="3">
        <v>1991</v>
      </c>
      <c r="B107" s="4">
        <v>3.7</v>
      </c>
      <c r="C107">
        <f t="shared" si="3"/>
        <v>1.0369999999999999</v>
      </c>
      <c r="D107">
        <f t="shared" si="2"/>
        <v>2.3752350415521364</v>
      </c>
    </row>
    <row r="108" spans="1:4" x14ac:dyDescent="0.25">
      <c r="A108" s="3">
        <v>1992</v>
      </c>
      <c r="B108" s="4">
        <v>3</v>
      </c>
      <c r="C108">
        <f t="shared" si="3"/>
        <v>1.03</v>
      </c>
      <c r="D108">
        <f t="shared" si="2"/>
        <v>2.29048702174748</v>
      </c>
    </row>
    <row r="109" spans="1:4" x14ac:dyDescent="0.25">
      <c r="A109" s="3">
        <v>1993</v>
      </c>
      <c r="B109" s="4">
        <v>2.6</v>
      </c>
      <c r="C109">
        <f t="shared" si="3"/>
        <v>1.026</v>
      </c>
      <c r="D109">
        <f t="shared" si="2"/>
        <v>2.223773807521825</v>
      </c>
    </row>
    <row r="110" spans="1:4" x14ac:dyDescent="0.25">
      <c r="A110" s="3">
        <v>1994</v>
      </c>
      <c r="B110" s="4">
        <v>2.8</v>
      </c>
      <c r="C110">
        <f t="shared" si="3"/>
        <v>1.028</v>
      </c>
      <c r="D110">
        <f t="shared" si="2"/>
        <v>2.1674208650310183</v>
      </c>
    </row>
    <row r="111" spans="1:4" x14ac:dyDescent="0.25">
      <c r="A111" s="3">
        <v>1995</v>
      </c>
      <c r="B111" s="4">
        <v>2.6</v>
      </c>
      <c r="C111">
        <f t="shared" si="3"/>
        <v>1.026</v>
      </c>
      <c r="D111">
        <f t="shared" si="2"/>
        <v>2.1083860554776441</v>
      </c>
    </row>
    <row r="112" spans="1:4" x14ac:dyDescent="0.25">
      <c r="A112" s="3">
        <v>1996</v>
      </c>
      <c r="B112" s="4">
        <v>2.9</v>
      </c>
      <c r="C112">
        <f t="shared" si="3"/>
        <v>1.0289999999999999</v>
      </c>
      <c r="D112">
        <f t="shared" si="2"/>
        <v>2.0549571690815243</v>
      </c>
    </row>
    <row r="113" spans="1:4" x14ac:dyDescent="0.25">
      <c r="A113" s="3">
        <v>1997</v>
      </c>
      <c r="B113" s="4">
        <v>2.1</v>
      </c>
      <c r="C113">
        <f t="shared" si="3"/>
        <v>1.0209999999999999</v>
      </c>
      <c r="D113">
        <f t="shared" si="2"/>
        <v>1.9970429242774774</v>
      </c>
    </row>
    <row r="114" spans="1:4" x14ac:dyDescent="0.25">
      <c r="A114" s="3">
        <v>1998</v>
      </c>
      <c r="B114" s="4">
        <v>1.3</v>
      </c>
      <c r="C114">
        <f t="shared" si="3"/>
        <v>1.0129999999999999</v>
      </c>
      <c r="D114">
        <f t="shared" si="2"/>
        <v>1.9559676045812708</v>
      </c>
    </row>
    <row r="115" spans="1:4" x14ac:dyDescent="0.25">
      <c r="A115" s="3" t="s">
        <v>122</v>
      </c>
      <c r="B115" s="4">
        <v>2.5</v>
      </c>
      <c r="C115">
        <f t="shared" si="3"/>
        <v>1.0249999999999999</v>
      </c>
      <c r="D115">
        <f t="shared" si="2"/>
        <v>1.930866342133535</v>
      </c>
    </row>
    <row r="116" spans="1:4" x14ac:dyDescent="0.25">
      <c r="A116" s="3">
        <v>2000</v>
      </c>
      <c r="B116" s="4">
        <v>3.5</v>
      </c>
      <c r="C116">
        <f t="shared" si="3"/>
        <v>1.0349999999999999</v>
      </c>
      <c r="D116">
        <f t="shared" si="2"/>
        <v>1.883772041105888</v>
      </c>
    </row>
    <row r="117" spans="1:4" x14ac:dyDescent="0.25">
      <c r="A117" s="3">
        <v>2001</v>
      </c>
      <c r="B117" s="4">
        <v>2.6</v>
      </c>
      <c r="C117">
        <f t="shared" si="3"/>
        <v>1.026</v>
      </c>
      <c r="D117">
        <f t="shared" si="2"/>
        <v>1.8200696049332252</v>
      </c>
    </row>
    <row r="118" spans="1:4" x14ac:dyDescent="0.25">
      <c r="A118" s="3">
        <v>2002</v>
      </c>
      <c r="B118" s="4">
        <v>1.4</v>
      </c>
      <c r="C118">
        <f t="shared" si="3"/>
        <v>1.014</v>
      </c>
      <c r="D118">
        <f t="shared" si="2"/>
        <v>1.7739469833657167</v>
      </c>
    </row>
    <row r="119" spans="1:4" x14ac:dyDescent="0.25">
      <c r="A119" s="3">
        <v>2003</v>
      </c>
      <c r="B119" s="4">
        <v>2.1</v>
      </c>
      <c r="C119">
        <f t="shared" si="3"/>
        <v>1.0209999999999999</v>
      </c>
      <c r="D119">
        <f t="shared" si="2"/>
        <v>1.7494546187038627</v>
      </c>
    </row>
    <row r="120" spans="1:4" x14ac:dyDescent="0.25">
      <c r="A120" s="3">
        <v>2004</v>
      </c>
      <c r="B120" s="4">
        <v>2.7</v>
      </c>
      <c r="C120">
        <f t="shared" si="3"/>
        <v>1.0269999999999999</v>
      </c>
      <c r="D120">
        <f t="shared" si="2"/>
        <v>1.7134717127363985</v>
      </c>
    </row>
    <row r="121" spans="1:4" x14ac:dyDescent="0.25">
      <c r="A121" s="3">
        <v>2005</v>
      </c>
      <c r="B121" s="4">
        <v>4.0999999999999996</v>
      </c>
      <c r="C121">
        <f t="shared" si="3"/>
        <v>1.0409999999999999</v>
      </c>
      <c r="D121">
        <f t="shared" si="2"/>
        <v>1.668424257776435</v>
      </c>
    </row>
    <row r="122" spans="1:4" x14ac:dyDescent="0.25">
      <c r="A122" s="3">
        <v>2006</v>
      </c>
      <c r="B122" s="4">
        <v>3.3</v>
      </c>
      <c r="C122">
        <f t="shared" si="3"/>
        <v>1.0329999999999999</v>
      </c>
      <c r="D122">
        <f t="shared" si="2"/>
        <v>1.6027130238006102</v>
      </c>
    </row>
    <row r="123" spans="1:4" x14ac:dyDescent="0.25">
      <c r="A123" s="3">
        <v>2007</v>
      </c>
      <c r="B123" s="4">
        <v>2.2999999999999998</v>
      </c>
      <c r="C123">
        <f t="shared" si="3"/>
        <v>1.0229999999999999</v>
      </c>
      <c r="D123">
        <f t="shared" si="2"/>
        <v>1.55151309177213</v>
      </c>
    </row>
    <row r="124" spans="1:4" x14ac:dyDescent="0.25">
      <c r="A124" s="3">
        <v>2008</v>
      </c>
      <c r="B124" s="4">
        <v>5.8</v>
      </c>
      <c r="C124">
        <f t="shared" si="3"/>
        <v>1.0580000000000001</v>
      </c>
      <c r="D124">
        <f t="shared" si="2"/>
        <v>1.5166305882425515</v>
      </c>
    </row>
    <row r="125" spans="1:4" x14ac:dyDescent="0.25">
      <c r="A125" s="3">
        <v>2009</v>
      </c>
      <c r="B125" s="4">
        <v>0</v>
      </c>
      <c r="C125">
        <f t="shared" si="3"/>
        <v>1</v>
      </c>
      <c r="D125">
        <f t="shared" si="2"/>
        <v>1.4334882686602566</v>
      </c>
    </row>
    <row r="126" spans="1:4" x14ac:dyDescent="0.25">
      <c r="A126" s="3">
        <v>2010</v>
      </c>
      <c r="B126" s="4">
        <v>0</v>
      </c>
      <c r="C126">
        <f t="shared" si="3"/>
        <v>1</v>
      </c>
      <c r="D126">
        <f t="shared" si="2"/>
        <v>1.4334882686602566</v>
      </c>
    </row>
    <row r="127" spans="1:4" x14ac:dyDescent="0.25">
      <c r="A127" s="3">
        <v>2011</v>
      </c>
      <c r="B127" s="4">
        <v>3.6</v>
      </c>
      <c r="C127">
        <f t="shared" si="3"/>
        <v>1.036</v>
      </c>
      <c r="D127">
        <f t="shared" si="2"/>
        <v>1.4334882686602566</v>
      </c>
    </row>
    <row r="128" spans="1:4" x14ac:dyDescent="0.25">
      <c r="A128" s="3">
        <v>2012</v>
      </c>
      <c r="B128" s="4">
        <v>1.7</v>
      </c>
      <c r="C128">
        <f t="shared" si="3"/>
        <v>1.0169999999999999</v>
      </c>
      <c r="D128">
        <f t="shared" si="2"/>
        <v>1.3836759350002477</v>
      </c>
    </row>
    <row r="129" spans="1:4" x14ac:dyDescent="0.25">
      <c r="A129" s="3">
        <v>2013</v>
      </c>
      <c r="B129" s="4">
        <v>1.5</v>
      </c>
      <c r="C129">
        <f t="shared" si="3"/>
        <v>1.0149999999999999</v>
      </c>
      <c r="D129">
        <f t="shared" si="2"/>
        <v>1.360546642084806</v>
      </c>
    </row>
    <row r="130" spans="1:4" ht="15.75" thickBot="1" x14ac:dyDescent="0.3">
      <c r="A130" s="5">
        <v>2014</v>
      </c>
      <c r="B130" s="6">
        <v>1.7</v>
      </c>
      <c r="C130">
        <f t="shared" si="3"/>
        <v>1.0169999999999999</v>
      </c>
      <c r="D130">
        <f t="shared" si="2"/>
        <v>1.3404400414628632</v>
      </c>
    </row>
    <row r="131" spans="1:4" ht="15.75" thickTop="1" x14ac:dyDescent="0.25">
      <c r="A131" s="3">
        <v>2015</v>
      </c>
      <c r="B131" s="4">
        <v>0</v>
      </c>
      <c r="C131">
        <f t="shared" si="3"/>
        <v>1</v>
      </c>
      <c r="D131">
        <f t="shared" si="2"/>
        <v>1.3180334724315275</v>
      </c>
    </row>
    <row r="132" spans="1:4" x14ac:dyDescent="0.25">
      <c r="A132" s="3">
        <v>2016</v>
      </c>
      <c r="B132" s="4">
        <v>0.3</v>
      </c>
      <c r="C132">
        <f t="shared" si="3"/>
        <v>1.0029999999999999</v>
      </c>
      <c r="D132">
        <f t="shared" si="2"/>
        <v>1.3180334724315275</v>
      </c>
    </row>
    <row r="133" spans="1:4" x14ac:dyDescent="0.25">
      <c r="A133" s="3">
        <v>2017</v>
      </c>
      <c r="B133" s="4">
        <v>2</v>
      </c>
      <c r="C133">
        <f t="shared" si="3"/>
        <v>1.02</v>
      </c>
      <c r="D133">
        <f t="shared" si="2"/>
        <v>1.3140911988350226</v>
      </c>
    </row>
    <row r="134" spans="1:4" x14ac:dyDescent="0.25">
      <c r="A134" s="3">
        <v>2018</v>
      </c>
      <c r="B134" s="4">
        <v>2.8</v>
      </c>
      <c r="C134">
        <f t="shared" si="3"/>
        <v>1.028</v>
      </c>
      <c r="D134">
        <f t="shared" si="2"/>
        <v>1.2883247047402182</v>
      </c>
    </row>
    <row r="135" spans="1:4" x14ac:dyDescent="0.25">
      <c r="A135" s="3">
        <v>2019</v>
      </c>
      <c r="B135" s="4">
        <v>1.6</v>
      </c>
      <c r="C135">
        <f t="shared" si="3"/>
        <v>1.016</v>
      </c>
      <c r="D135">
        <f t="shared" si="2"/>
        <v>1.2532341485799787</v>
      </c>
    </row>
    <row r="136" spans="1:4" x14ac:dyDescent="0.25">
      <c r="A136" s="3">
        <v>2020</v>
      </c>
      <c r="B136" s="4">
        <v>1.3</v>
      </c>
      <c r="C136">
        <f t="shared" si="3"/>
        <v>1.0129999999999999</v>
      </c>
      <c r="D136">
        <f t="shared" si="2"/>
        <v>1.2334981777361995</v>
      </c>
    </row>
    <row r="137" spans="1:4" x14ac:dyDescent="0.25">
      <c r="A137" s="3">
        <v>2021</v>
      </c>
      <c r="B137" s="4">
        <v>5.9</v>
      </c>
      <c r="C137">
        <f t="shared" si="3"/>
        <v>1.0589999999999999</v>
      </c>
      <c r="D137">
        <f t="shared" si="2"/>
        <v>1.2176684873999997</v>
      </c>
    </row>
    <row r="138" spans="1:4" x14ac:dyDescent="0.25">
      <c r="A138" s="3">
        <v>2022</v>
      </c>
      <c r="B138" s="4">
        <v>8.6999999999999993</v>
      </c>
      <c r="C138">
        <f t="shared" si="3"/>
        <v>1.087</v>
      </c>
      <c r="D138">
        <f t="shared" si="2"/>
        <v>1.1498285999999998</v>
      </c>
    </row>
    <row r="139" spans="1:4" x14ac:dyDescent="0.25">
      <c r="A139" s="3">
        <v>2023</v>
      </c>
      <c r="B139" s="4">
        <v>3.2</v>
      </c>
      <c r="C139">
        <f t="shared" si="3"/>
        <v>1.032</v>
      </c>
      <c r="D139">
        <f>C139*D140</f>
        <v>1.0577999999999999</v>
      </c>
    </row>
    <row r="140" spans="1:4" x14ac:dyDescent="0.25">
      <c r="A140" s="3">
        <v>2024</v>
      </c>
      <c r="B140" s="4">
        <v>2.5</v>
      </c>
      <c r="C140">
        <f t="shared" si="3"/>
        <v>1.0249999999999999</v>
      </c>
      <c r="D140">
        <f>C140</f>
        <v>1.0249999999999999</v>
      </c>
    </row>
    <row r="141" spans="1:4" x14ac:dyDescent="0.25">
      <c r="A141" s="3">
        <v>2025</v>
      </c>
      <c r="B141" s="4">
        <v>0</v>
      </c>
      <c r="C141">
        <f t="shared" si="3"/>
        <v>1</v>
      </c>
      <c r="D141">
        <f>C141</f>
        <v>1</v>
      </c>
    </row>
    <row r="143" spans="1:4" x14ac:dyDescent="0.25">
      <c r="A143" t="s">
        <v>123</v>
      </c>
    </row>
    <row r="144" spans="1:4" x14ac:dyDescent="0.25">
      <c r="A144" t="s">
        <v>23</v>
      </c>
      <c r="B144">
        <v>0.4</v>
      </c>
    </row>
    <row r="145" spans="1:6" x14ac:dyDescent="0.25">
      <c r="A145">
        <v>21</v>
      </c>
      <c r="B145">
        <v>0.45</v>
      </c>
    </row>
    <row r="146" spans="1:6" x14ac:dyDescent="0.25">
      <c r="A146">
        <v>22</v>
      </c>
      <c r="B146">
        <v>0.5</v>
      </c>
    </row>
    <row r="147" spans="1:6" x14ac:dyDescent="0.25">
      <c r="A147">
        <v>23</v>
      </c>
      <c r="B147">
        <v>0.55000000000000004</v>
      </c>
    </row>
    <row r="148" spans="1:6" x14ac:dyDescent="0.25">
      <c r="A148">
        <v>24</v>
      </c>
      <c r="B148">
        <v>0.6</v>
      </c>
    </row>
    <row r="149" spans="1:6" x14ac:dyDescent="0.25">
      <c r="A149">
        <v>25</v>
      </c>
      <c r="B149">
        <v>0.65</v>
      </c>
    </row>
    <row r="150" spans="1:6" x14ac:dyDescent="0.25">
      <c r="A150">
        <v>26</v>
      </c>
      <c r="B150">
        <v>0.7</v>
      </c>
    </row>
    <row r="151" spans="1:6" x14ac:dyDescent="0.25">
      <c r="A151">
        <v>27</v>
      </c>
      <c r="B151">
        <v>0.75</v>
      </c>
    </row>
    <row r="152" spans="1:6" x14ac:dyDescent="0.25">
      <c r="A152">
        <v>28</v>
      </c>
      <c r="B152">
        <v>0.8</v>
      </c>
    </row>
    <row r="153" spans="1:6" x14ac:dyDescent="0.25">
      <c r="A153">
        <v>29</v>
      </c>
      <c r="B153">
        <v>0.85</v>
      </c>
    </row>
    <row r="154" spans="1:6" x14ac:dyDescent="0.25">
      <c r="A154" t="s">
        <v>124</v>
      </c>
      <c r="B154">
        <v>0.9</v>
      </c>
    </row>
    <row r="156" spans="1:6" x14ac:dyDescent="0.25">
      <c r="A156" t="s">
        <v>125</v>
      </c>
    </row>
    <row r="157" spans="1:6" x14ac:dyDescent="0.25">
      <c r="A157" s="13">
        <v>1951</v>
      </c>
      <c r="B157" s="14">
        <v>2799.16</v>
      </c>
      <c r="C157" s="15"/>
      <c r="D157" s="16"/>
      <c r="E157" s="15"/>
      <c r="F157" s="16"/>
    </row>
    <row r="158" spans="1:6" x14ac:dyDescent="0.25">
      <c r="A158" s="13">
        <v>1952</v>
      </c>
      <c r="B158" s="14">
        <v>2973.32</v>
      </c>
      <c r="C158" s="13"/>
      <c r="D158" s="14"/>
      <c r="E158" s="13"/>
      <c r="F158" s="14"/>
    </row>
    <row r="159" spans="1:6" x14ac:dyDescent="0.25">
      <c r="A159" s="13">
        <v>1953</v>
      </c>
      <c r="B159" s="14">
        <v>3139.44</v>
      </c>
      <c r="C159" s="13"/>
      <c r="D159" s="14"/>
      <c r="E159" s="13"/>
      <c r="F159" s="14"/>
    </row>
    <row r="160" spans="1:6" x14ac:dyDescent="0.25">
      <c r="A160" s="13">
        <v>1954</v>
      </c>
      <c r="B160" s="14">
        <v>3155.64</v>
      </c>
      <c r="C160" s="13"/>
      <c r="D160" s="14"/>
      <c r="E160" s="13"/>
      <c r="F160" s="14"/>
    </row>
    <row r="161" spans="1:6" x14ac:dyDescent="0.25">
      <c r="A161" s="13">
        <v>1955</v>
      </c>
      <c r="B161" s="14">
        <v>3301.44</v>
      </c>
      <c r="C161" s="13"/>
      <c r="D161" s="14"/>
      <c r="E161" s="13"/>
      <c r="F161" s="14"/>
    </row>
    <row r="162" spans="1:6" x14ac:dyDescent="0.25">
      <c r="A162" s="13">
        <v>1956</v>
      </c>
      <c r="B162" s="14">
        <v>3532.36</v>
      </c>
      <c r="C162" s="13"/>
      <c r="D162" s="14"/>
      <c r="E162" s="13"/>
      <c r="F162" s="14"/>
    </row>
    <row r="163" spans="1:6" x14ac:dyDescent="0.25">
      <c r="A163" s="13">
        <v>1957</v>
      </c>
      <c r="B163" s="14">
        <v>3641.72</v>
      </c>
      <c r="C163" s="13"/>
      <c r="D163" s="14"/>
      <c r="E163" s="13"/>
      <c r="F163" s="14"/>
    </row>
    <row r="164" spans="1:6" x14ac:dyDescent="0.25">
      <c r="A164" s="13">
        <v>1958</v>
      </c>
      <c r="B164" s="14">
        <v>3673.8</v>
      </c>
      <c r="C164" s="13"/>
      <c r="D164" s="14"/>
      <c r="E164" s="13"/>
      <c r="F164" s="14"/>
    </row>
    <row r="165" spans="1:6" x14ac:dyDescent="0.25">
      <c r="A165" s="13">
        <v>1959</v>
      </c>
      <c r="B165" s="14">
        <v>3855.8</v>
      </c>
      <c r="C165" s="13"/>
      <c r="D165" s="14"/>
      <c r="E165" s="13"/>
      <c r="F165" s="14"/>
    </row>
    <row r="166" spans="1:6" x14ac:dyDescent="0.25">
      <c r="A166" s="13">
        <v>1960</v>
      </c>
      <c r="B166" s="14">
        <v>4007.12</v>
      </c>
      <c r="C166" s="13"/>
      <c r="D166" s="14"/>
      <c r="E166" s="13"/>
      <c r="F166" s="14"/>
    </row>
    <row r="167" spans="1:6" x14ac:dyDescent="0.25">
      <c r="A167" s="13">
        <v>1961</v>
      </c>
      <c r="B167" s="14">
        <v>4086.76</v>
      </c>
      <c r="C167" s="13"/>
      <c r="D167" s="14"/>
      <c r="E167" s="13"/>
      <c r="F167" s="14"/>
    </row>
    <row r="168" spans="1:6" x14ac:dyDescent="0.25">
      <c r="A168" s="13">
        <v>1962</v>
      </c>
      <c r="B168" s="14">
        <v>4291.3999999999996</v>
      </c>
      <c r="C168" s="13"/>
      <c r="D168" s="14"/>
      <c r="E168" s="13"/>
      <c r="F168" s="14"/>
    </row>
    <row r="169" spans="1:6" x14ac:dyDescent="0.25">
      <c r="A169" s="13">
        <v>1963</v>
      </c>
      <c r="B169" s="14">
        <v>4396.6400000000003</v>
      </c>
      <c r="C169" s="13"/>
      <c r="D169" s="14"/>
      <c r="E169" s="13"/>
      <c r="F169" s="14"/>
    </row>
    <row r="170" spans="1:6" x14ac:dyDescent="0.25">
      <c r="A170" s="13">
        <v>1964</v>
      </c>
      <c r="B170" s="14">
        <v>4576.32</v>
      </c>
      <c r="C170" s="13"/>
      <c r="D170" s="14"/>
      <c r="E170" s="13"/>
      <c r="F170" s="14"/>
    </row>
    <row r="171" spans="1:6" x14ac:dyDescent="0.25">
      <c r="A171" s="13">
        <v>1965</v>
      </c>
      <c r="B171" s="14">
        <v>4658.72</v>
      </c>
      <c r="C171" s="13"/>
      <c r="D171" s="14"/>
      <c r="E171" s="13"/>
      <c r="F171" s="14"/>
    </row>
    <row r="172" spans="1:6" x14ac:dyDescent="0.25">
      <c r="A172" s="13">
        <v>1966</v>
      </c>
      <c r="B172" s="14">
        <v>4938.3599999999997</v>
      </c>
      <c r="C172" s="13"/>
      <c r="D172" s="14"/>
      <c r="E172" s="13"/>
      <c r="F172" s="14"/>
    </row>
    <row r="173" spans="1:6" x14ac:dyDescent="0.25">
      <c r="A173" s="13">
        <v>1967</v>
      </c>
      <c r="B173" s="14">
        <v>5213.4399999999996</v>
      </c>
      <c r="C173" s="13"/>
      <c r="D173" s="14"/>
      <c r="E173" s="13"/>
      <c r="F173" s="14"/>
    </row>
    <row r="174" spans="1:6" x14ac:dyDescent="0.25">
      <c r="A174" s="13">
        <v>1968</v>
      </c>
      <c r="B174" s="14">
        <v>5571.76</v>
      </c>
      <c r="C174" s="13"/>
      <c r="D174" s="14"/>
      <c r="E174" s="13"/>
      <c r="F174" s="14"/>
    </row>
    <row r="175" spans="1:6" x14ac:dyDescent="0.25">
      <c r="A175" s="13">
        <v>1969</v>
      </c>
      <c r="B175" s="14">
        <v>5893.76</v>
      </c>
      <c r="C175" s="13"/>
      <c r="D175" s="14"/>
      <c r="E175" s="13"/>
      <c r="F175" s="14"/>
    </row>
    <row r="176" spans="1:6" x14ac:dyDescent="0.25">
      <c r="A176" s="13">
        <v>1970</v>
      </c>
      <c r="B176" s="14">
        <v>6186.24</v>
      </c>
      <c r="C176" s="13"/>
      <c r="D176" s="14"/>
      <c r="E176" s="13"/>
      <c r="F176" s="14"/>
    </row>
    <row r="177" spans="1:6" x14ac:dyDescent="0.25">
      <c r="A177" s="13">
        <v>1971</v>
      </c>
      <c r="B177" s="14">
        <v>6497.08</v>
      </c>
      <c r="C177" s="13"/>
      <c r="D177" s="14"/>
      <c r="E177" s="13"/>
      <c r="F177" s="14"/>
    </row>
    <row r="178" spans="1:6" x14ac:dyDescent="0.25">
      <c r="A178" s="13">
        <v>1972</v>
      </c>
      <c r="B178" s="14">
        <v>7133.8</v>
      </c>
      <c r="C178" s="13"/>
      <c r="D178" s="14"/>
      <c r="E178" s="13"/>
      <c r="F178" s="14"/>
    </row>
    <row r="179" spans="1:6" x14ac:dyDescent="0.25">
      <c r="A179" s="13">
        <v>1973</v>
      </c>
      <c r="B179" s="14">
        <v>7580.16</v>
      </c>
      <c r="C179" s="13"/>
      <c r="D179" s="14"/>
      <c r="E179" s="13"/>
      <c r="F179" s="14"/>
    </row>
    <row r="180" spans="1:6" x14ac:dyDescent="0.25">
      <c r="A180" s="13">
        <v>1974</v>
      </c>
      <c r="B180" s="14">
        <v>8030.76</v>
      </c>
      <c r="C180" s="13"/>
      <c r="D180" s="14"/>
      <c r="E180" s="13"/>
      <c r="F180" s="14"/>
    </row>
    <row r="181" spans="1:6" x14ac:dyDescent="0.25">
      <c r="A181" s="13">
        <v>1975</v>
      </c>
      <c r="B181" s="14">
        <v>8630.92</v>
      </c>
      <c r="C181" s="13"/>
      <c r="D181" s="14"/>
      <c r="E181" s="126"/>
      <c r="F181" s="126"/>
    </row>
    <row r="182" spans="1:6" x14ac:dyDescent="0.25">
      <c r="A182" s="13">
        <v>1976</v>
      </c>
      <c r="B182" s="14">
        <v>9226.48</v>
      </c>
      <c r="C182" s="13"/>
      <c r="D182" s="14"/>
      <c r="E182" s="126"/>
      <c r="F182" s="126"/>
    </row>
    <row r="183" spans="1:6" x14ac:dyDescent="0.25">
      <c r="A183" s="13">
        <v>1977</v>
      </c>
      <c r="B183" s="14">
        <v>9779.44</v>
      </c>
    </row>
    <row r="184" spans="1:6" x14ac:dyDescent="0.25">
      <c r="A184" s="13">
        <v>1978</v>
      </c>
      <c r="B184" s="14">
        <v>10556.03</v>
      </c>
    </row>
    <row r="185" spans="1:6" x14ac:dyDescent="0.25">
      <c r="A185" s="13">
        <v>1979</v>
      </c>
      <c r="B185" s="14">
        <v>11479.46</v>
      </c>
    </row>
    <row r="186" spans="1:6" x14ac:dyDescent="0.25">
      <c r="A186" s="13">
        <v>1980</v>
      </c>
      <c r="B186" s="14">
        <v>12513.46</v>
      </c>
    </row>
    <row r="187" spans="1:6" x14ac:dyDescent="0.25">
      <c r="A187" s="13">
        <v>1981</v>
      </c>
      <c r="B187" s="14">
        <v>13773.1</v>
      </c>
    </row>
    <row r="188" spans="1:6" x14ac:dyDescent="0.25">
      <c r="A188" s="13">
        <v>1982</v>
      </c>
      <c r="B188" s="14">
        <v>14531.34</v>
      </c>
    </row>
    <row r="189" spans="1:6" x14ac:dyDescent="0.25">
      <c r="A189" s="13">
        <v>1983</v>
      </c>
      <c r="B189" s="14">
        <v>15239.24</v>
      </c>
    </row>
    <row r="190" spans="1:6" x14ac:dyDescent="0.25">
      <c r="A190" s="13">
        <v>1984</v>
      </c>
      <c r="B190" s="14">
        <v>16135.07</v>
      </c>
    </row>
    <row r="191" spans="1:6" x14ac:dyDescent="0.25">
      <c r="A191" s="13">
        <v>1985</v>
      </c>
      <c r="B191" s="14">
        <v>16822.509999999998</v>
      </c>
    </row>
    <row r="192" spans="1:6" x14ac:dyDescent="0.25">
      <c r="A192" s="13">
        <v>1986</v>
      </c>
      <c r="B192" s="14">
        <v>17321.82</v>
      </c>
    </row>
    <row r="193" spans="1:2" x14ac:dyDescent="0.25">
      <c r="A193" s="13">
        <v>1987</v>
      </c>
      <c r="B193" s="14">
        <v>18426.509999999998</v>
      </c>
    </row>
    <row r="194" spans="1:2" x14ac:dyDescent="0.25">
      <c r="A194" s="13">
        <v>1988</v>
      </c>
      <c r="B194" s="14">
        <v>19334.04</v>
      </c>
    </row>
    <row r="195" spans="1:2" x14ac:dyDescent="0.25">
      <c r="A195" s="13">
        <v>1989</v>
      </c>
      <c r="B195" s="14">
        <v>20099.55</v>
      </c>
    </row>
    <row r="196" spans="1:2" x14ac:dyDescent="0.25">
      <c r="A196" s="13">
        <v>1990</v>
      </c>
      <c r="B196" s="14">
        <v>21027.98</v>
      </c>
    </row>
    <row r="197" spans="1:2" x14ac:dyDescent="0.25">
      <c r="A197" s="13">
        <v>1991</v>
      </c>
      <c r="B197" s="14">
        <v>21811.599999999999</v>
      </c>
    </row>
    <row r="198" spans="1:2" x14ac:dyDescent="0.25">
      <c r="A198" s="13">
        <v>1992</v>
      </c>
      <c r="B198" s="14">
        <v>22935.42</v>
      </c>
    </row>
    <row r="199" spans="1:2" x14ac:dyDescent="0.25">
      <c r="A199" s="13">
        <v>1993</v>
      </c>
      <c r="B199" s="14">
        <v>23132.67</v>
      </c>
    </row>
    <row r="200" spans="1:2" x14ac:dyDescent="0.25">
      <c r="A200" s="13">
        <v>1994</v>
      </c>
      <c r="B200" s="14">
        <v>23753.53</v>
      </c>
    </row>
    <row r="201" spans="1:2" x14ac:dyDescent="0.25">
      <c r="A201" s="13">
        <v>1995</v>
      </c>
      <c r="B201" s="14">
        <v>24705.66</v>
      </c>
    </row>
    <row r="202" spans="1:2" x14ac:dyDescent="0.25">
      <c r="A202" s="13">
        <v>1996</v>
      </c>
      <c r="B202" s="14">
        <v>25913.9</v>
      </c>
    </row>
    <row r="203" spans="1:2" x14ac:dyDescent="0.25">
      <c r="A203" s="13">
        <v>1997</v>
      </c>
      <c r="B203" s="14">
        <v>27426</v>
      </c>
    </row>
    <row r="204" spans="1:2" x14ac:dyDescent="0.25">
      <c r="A204" s="13">
        <v>1998</v>
      </c>
      <c r="B204" s="14">
        <v>28861.439999999999</v>
      </c>
    </row>
    <row r="205" spans="1:2" x14ac:dyDescent="0.25">
      <c r="A205" s="13">
        <v>1999</v>
      </c>
      <c r="B205" s="14">
        <v>30469.84</v>
      </c>
    </row>
    <row r="206" spans="1:2" x14ac:dyDescent="0.25">
      <c r="A206" s="13">
        <v>2000</v>
      </c>
      <c r="B206" s="14">
        <v>32154.82</v>
      </c>
    </row>
    <row r="207" spans="1:2" x14ac:dyDescent="0.25">
      <c r="A207" s="13">
        <v>2001</v>
      </c>
      <c r="B207" s="14">
        <v>32921.919999999998</v>
      </c>
    </row>
    <row r="208" spans="1:2" x14ac:dyDescent="0.25">
      <c r="A208" s="13">
        <v>2002</v>
      </c>
      <c r="B208" s="14">
        <v>33252.089999999997</v>
      </c>
    </row>
    <row r="209" spans="1:2" x14ac:dyDescent="0.25">
      <c r="A209" s="13">
        <v>2003</v>
      </c>
      <c r="B209" s="14">
        <v>34064.949999999997</v>
      </c>
    </row>
    <row r="210" spans="1:2" x14ac:dyDescent="0.25">
      <c r="A210" s="13">
        <v>2004</v>
      </c>
      <c r="B210" s="14">
        <v>35648.550000000003</v>
      </c>
    </row>
    <row r="211" spans="1:2" x14ac:dyDescent="0.25">
      <c r="A211" s="13">
        <v>2005</v>
      </c>
      <c r="B211" s="14">
        <v>36952.94</v>
      </c>
    </row>
    <row r="212" spans="1:2" x14ac:dyDescent="0.25">
      <c r="A212" s="13">
        <v>2006</v>
      </c>
      <c r="B212" s="14">
        <v>38651.410000000003</v>
      </c>
    </row>
    <row r="213" spans="1:2" x14ac:dyDescent="0.25">
      <c r="A213" s="13">
        <v>2007</v>
      </c>
      <c r="B213" s="14">
        <v>40405.480000000003</v>
      </c>
    </row>
    <row r="214" spans="1:2" x14ac:dyDescent="0.25">
      <c r="A214" s="13">
        <v>2008</v>
      </c>
      <c r="B214" s="14">
        <v>41334.97</v>
      </c>
    </row>
    <row r="215" spans="1:2" x14ac:dyDescent="0.25">
      <c r="A215" s="13">
        <v>2009</v>
      </c>
      <c r="B215" s="14">
        <v>40711.61</v>
      </c>
    </row>
    <row r="216" spans="1:2" x14ac:dyDescent="0.25">
      <c r="A216" s="13">
        <v>2010</v>
      </c>
      <c r="B216" s="14">
        <v>41673.83</v>
      </c>
    </row>
    <row r="217" spans="1:2" x14ac:dyDescent="0.25">
      <c r="A217" s="13">
        <v>2011</v>
      </c>
      <c r="B217" s="14">
        <v>42979.61</v>
      </c>
    </row>
    <row r="218" spans="1:2" x14ac:dyDescent="0.25">
      <c r="A218" s="13">
        <v>2012</v>
      </c>
      <c r="B218" s="14">
        <v>44321.67</v>
      </c>
    </row>
    <row r="219" spans="1:2" x14ac:dyDescent="0.25">
      <c r="A219" s="13">
        <v>2013</v>
      </c>
      <c r="B219" s="14">
        <v>44888.160000000003</v>
      </c>
    </row>
    <row r="220" spans="1:2" x14ac:dyDescent="0.25">
      <c r="A220" s="13">
        <v>2014</v>
      </c>
      <c r="B220" s="14">
        <v>46481.52</v>
      </c>
    </row>
    <row r="221" spans="1:2" x14ac:dyDescent="0.25">
      <c r="A221" s="13">
        <v>2015</v>
      </c>
      <c r="B221" s="14">
        <v>48098.63</v>
      </c>
    </row>
    <row r="222" spans="1:2" x14ac:dyDescent="0.25">
      <c r="A222" s="13">
        <v>2016</v>
      </c>
      <c r="B222" s="14">
        <v>48642.15</v>
      </c>
    </row>
    <row r="223" spans="1:2" x14ac:dyDescent="0.25">
      <c r="A223" s="13">
        <v>2017</v>
      </c>
      <c r="B223" s="14">
        <v>50321.89</v>
      </c>
    </row>
    <row r="224" spans="1:2" x14ac:dyDescent="0.25">
      <c r="A224" s="13">
        <v>2018</v>
      </c>
      <c r="B224" s="14">
        <v>52145.8</v>
      </c>
    </row>
    <row r="225" spans="1:2" x14ac:dyDescent="0.25">
      <c r="A225" s="13">
        <v>2019</v>
      </c>
      <c r="B225" s="14">
        <v>54099.99</v>
      </c>
    </row>
    <row r="226" spans="1:2" x14ac:dyDescent="0.25">
      <c r="A226" s="13">
        <v>2020</v>
      </c>
      <c r="B226" s="14">
        <v>55628.6</v>
      </c>
    </row>
    <row r="227" spans="1:2" x14ac:dyDescent="0.25">
      <c r="A227" s="13">
        <v>2021</v>
      </c>
      <c r="B227" s="14">
        <v>60575.07</v>
      </c>
    </row>
    <row r="228" spans="1:2" x14ac:dyDescent="0.25">
      <c r="A228" s="13">
        <v>2022</v>
      </c>
      <c r="B228" s="14">
        <v>63795.13</v>
      </c>
    </row>
    <row r="229" spans="1:2" x14ac:dyDescent="0.25">
      <c r="A229" s="13">
        <v>2023</v>
      </c>
      <c r="B229" s="14">
        <v>66621.8</v>
      </c>
    </row>
    <row r="230" spans="1:2" ht="15.75" thickBot="1" x14ac:dyDescent="0.3"/>
    <row r="231" spans="1:2" ht="16.5" thickTop="1" thickBot="1" x14ac:dyDescent="0.3">
      <c r="A231" s="17" t="s">
        <v>126</v>
      </c>
      <c r="B231" s="18" t="s">
        <v>105</v>
      </c>
    </row>
    <row r="232" spans="1:2" x14ac:dyDescent="0.25">
      <c r="A232" s="3">
        <v>1951</v>
      </c>
      <c r="B232" s="4">
        <v>3600</v>
      </c>
    </row>
    <row r="233" spans="1:2" x14ac:dyDescent="0.25">
      <c r="A233" s="3">
        <v>1952</v>
      </c>
      <c r="B233" s="4">
        <v>3600</v>
      </c>
    </row>
    <row r="234" spans="1:2" x14ac:dyDescent="0.25">
      <c r="A234" s="3">
        <v>1953</v>
      </c>
      <c r="B234" s="4">
        <v>3600</v>
      </c>
    </row>
    <row r="235" spans="1:2" x14ac:dyDescent="0.25">
      <c r="A235" s="3">
        <v>1954</v>
      </c>
      <c r="B235" s="4">
        <v>3600</v>
      </c>
    </row>
    <row r="236" spans="1:2" x14ac:dyDescent="0.25">
      <c r="A236" s="3">
        <v>1955</v>
      </c>
      <c r="B236" s="4">
        <v>4200</v>
      </c>
    </row>
    <row r="237" spans="1:2" x14ac:dyDescent="0.25">
      <c r="A237" s="3">
        <v>1956</v>
      </c>
      <c r="B237" s="4">
        <v>4200</v>
      </c>
    </row>
    <row r="238" spans="1:2" x14ac:dyDescent="0.25">
      <c r="A238" s="3">
        <v>1957</v>
      </c>
      <c r="B238" s="4">
        <v>4200</v>
      </c>
    </row>
    <row r="239" spans="1:2" x14ac:dyDescent="0.25">
      <c r="A239" s="3">
        <v>1958</v>
      </c>
      <c r="B239" s="4">
        <v>4200</v>
      </c>
    </row>
    <row r="240" spans="1:2" x14ac:dyDescent="0.25">
      <c r="A240" s="3">
        <v>1959</v>
      </c>
      <c r="B240" s="4">
        <v>4800</v>
      </c>
    </row>
    <row r="241" spans="1:2" x14ac:dyDescent="0.25">
      <c r="A241" s="3">
        <v>1960</v>
      </c>
      <c r="B241" s="4">
        <v>4800</v>
      </c>
    </row>
    <row r="242" spans="1:2" x14ac:dyDescent="0.25">
      <c r="A242" s="3">
        <v>1961</v>
      </c>
      <c r="B242" s="4">
        <v>4800</v>
      </c>
    </row>
    <row r="243" spans="1:2" x14ac:dyDescent="0.25">
      <c r="A243" s="3">
        <v>1962</v>
      </c>
      <c r="B243" s="4">
        <v>4800</v>
      </c>
    </row>
    <row r="244" spans="1:2" x14ac:dyDescent="0.25">
      <c r="A244" s="3">
        <v>1963</v>
      </c>
      <c r="B244" s="4">
        <v>4800</v>
      </c>
    </row>
    <row r="245" spans="1:2" x14ac:dyDescent="0.25">
      <c r="A245" s="3">
        <v>1964</v>
      </c>
      <c r="B245" s="4">
        <v>4800</v>
      </c>
    </row>
    <row r="246" spans="1:2" x14ac:dyDescent="0.25">
      <c r="A246" s="3">
        <v>1965</v>
      </c>
      <c r="B246" s="4">
        <v>4800</v>
      </c>
    </row>
    <row r="247" spans="1:2" x14ac:dyDescent="0.25">
      <c r="A247" s="3">
        <v>1966</v>
      </c>
      <c r="B247" s="4">
        <v>6600</v>
      </c>
    </row>
    <row r="248" spans="1:2" x14ac:dyDescent="0.25">
      <c r="A248" s="3">
        <v>1967</v>
      </c>
      <c r="B248" s="4">
        <v>6600</v>
      </c>
    </row>
    <row r="249" spans="1:2" x14ac:dyDescent="0.25">
      <c r="A249" s="3">
        <v>1968</v>
      </c>
      <c r="B249" s="4">
        <v>7800</v>
      </c>
    </row>
    <row r="250" spans="1:2" x14ac:dyDescent="0.25">
      <c r="A250" s="3">
        <v>1969</v>
      </c>
      <c r="B250" s="4">
        <v>7800</v>
      </c>
    </row>
    <row r="251" spans="1:2" x14ac:dyDescent="0.25">
      <c r="A251" s="3">
        <v>1970</v>
      </c>
      <c r="B251" s="4">
        <v>7800</v>
      </c>
    </row>
    <row r="252" spans="1:2" x14ac:dyDescent="0.25">
      <c r="A252" s="3">
        <v>1971</v>
      </c>
      <c r="B252" s="20">
        <v>7800</v>
      </c>
    </row>
    <row r="253" spans="1:2" x14ac:dyDescent="0.25">
      <c r="A253" s="3">
        <v>1972</v>
      </c>
      <c r="B253" s="20">
        <v>9000</v>
      </c>
    </row>
    <row r="254" spans="1:2" x14ac:dyDescent="0.25">
      <c r="A254" s="3">
        <v>1973</v>
      </c>
      <c r="B254" s="20">
        <v>10800</v>
      </c>
    </row>
    <row r="255" spans="1:2" x14ac:dyDescent="0.25">
      <c r="A255" s="3">
        <v>1974</v>
      </c>
      <c r="B255" s="20">
        <v>13200</v>
      </c>
    </row>
    <row r="256" spans="1:2" x14ac:dyDescent="0.25">
      <c r="A256" s="3">
        <v>1975</v>
      </c>
      <c r="B256" s="20">
        <v>14100</v>
      </c>
    </row>
    <row r="257" spans="1:2" x14ac:dyDescent="0.25">
      <c r="A257" s="3">
        <v>1976</v>
      </c>
      <c r="B257" s="20">
        <v>15300</v>
      </c>
    </row>
    <row r="258" spans="1:2" x14ac:dyDescent="0.25">
      <c r="A258" s="3">
        <v>1977</v>
      </c>
      <c r="B258" s="20">
        <v>16500</v>
      </c>
    </row>
    <row r="259" spans="1:2" x14ac:dyDescent="0.25">
      <c r="A259" s="3">
        <v>1978</v>
      </c>
      <c r="B259" s="20">
        <v>17700</v>
      </c>
    </row>
    <row r="260" spans="1:2" x14ac:dyDescent="0.25">
      <c r="A260" s="3">
        <v>1979</v>
      </c>
      <c r="B260" s="20">
        <v>22900</v>
      </c>
    </row>
    <row r="261" spans="1:2" x14ac:dyDescent="0.25">
      <c r="A261" s="3">
        <v>1980</v>
      </c>
      <c r="B261" s="20">
        <v>25900</v>
      </c>
    </row>
    <row r="262" spans="1:2" x14ac:dyDescent="0.25">
      <c r="A262" s="3">
        <v>1981</v>
      </c>
      <c r="B262" s="20">
        <v>29700</v>
      </c>
    </row>
    <row r="263" spans="1:2" x14ac:dyDescent="0.25">
      <c r="A263" s="3">
        <v>1982</v>
      </c>
      <c r="B263" s="20">
        <v>32400</v>
      </c>
    </row>
    <row r="264" spans="1:2" x14ac:dyDescent="0.25">
      <c r="A264" s="3">
        <v>1983</v>
      </c>
      <c r="B264" s="20">
        <v>35700</v>
      </c>
    </row>
    <row r="265" spans="1:2" x14ac:dyDescent="0.25">
      <c r="A265" s="3">
        <v>1984</v>
      </c>
      <c r="B265" s="20">
        <v>37800</v>
      </c>
    </row>
    <row r="266" spans="1:2" ht="15.75" thickBot="1" x14ac:dyDescent="0.3">
      <c r="A266" s="5">
        <v>1985</v>
      </c>
      <c r="B266" s="21">
        <v>39600</v>
      </c>
    </row>
    <row r="267" spans="1:2" ht="15.75" thickTop="1" x14ac:dyDescent="0.25">
      <c r="A267" s="3">
        <v>1986</v>
      </c>
      <c r="B267" s="19">
        <v>42000</v>
      </c>
    </row>
    <row r="268" spans="1:2" x14ac:dyDescent="0.25">
      <c r="A268" s="3">
        <v>1987</v>
      </c>
      <c r="B268" s="20">
        <v>43800</v>
      </c>
    </row>
    <row r="269" spans="1:2" x14ac:dyDescent="0.25">
      <c r="A269" s="3">
        <v>1988</v>
      </c>
      <c r="B269" s="20">
        <v>45000</v>
      </c>
    </row>
    <row r="270" spans="1:2" x14ac:dyDescent="0.25">
      <c r="A270" s="3">
        <v>1989</v>
      </c>
      <c r="B270" s="20">
        <v>48000</v>
      </c>
    </row>
    <row r="271" spans="1:2" x14ac:dyDescent="0.25">
      <c r="A271" s="3">
        <v>1990</v>
      </c>
      <c r="B271" s="20">
        <v>51300</v>
      </c>
    </row>
    <row r="272" spans="1:2" x14ac:dyDescent="0.25">
      <c r="A272" s="3">
        <v>1991</v>
      </c>
      <c r="B272" s="20">
        <v>53400</v>
      </c>
    </row>
    <row r="273" spans="1:2" x14ac:dyDescent="0.25">
      <c r="A273" s="3">
        <v>1992</v>
      </c>
      <c r="B273" s="20">
        <v>55500</v>
      </c>
    </row>
    <row r="274" spans="1:2" x14ac:dyDescent="0.25">
      <c r="A274" s="3">
        <v>1993</v>
      </c>
      <c r="B274" s="20">
        <v>57600</v>
      </c>
    </row>
    <row r="275" spans="1:2" x14ac:dyDescent="0.25">
      <c r="A275" s="3">
        <v>1994</v>
      </c>
      <c r="B275" s="20">
        <v>60600</v>
      </c>
    </row>
    <row r="276" spans="1:2" x14ac:dyDescent="0.25">
      <c r="A276" s="3">
        <v>1995</v>
      </c>
      <c r="B276" s="20">
        <v>61200</v>
      </c>
    </row>
    <row r="277" spans="1:2" x14ac:dyDescent="0.25">
      <c r="A277" s="3">
        <v>1996</v>
      </c>
      <c r="B277" s="20">
        <v>62700</v>
      </c>
    </row>
    <row r="278" spans="1:2" x14ac:dyDescent="0.25">
      <c r="A278" s="3">
        <v>1997</v>
      </c>
      <c r="B278" s="20">
        <v>65400</v>
      </c>
    </row>
    <row r="279" spans="1:2" x14ac:dyDescent="0.25">
      <c r="A279" s="3">
        <v>1998</v>
      </c>
      <c r="B279" s="20">
        <v>68400</v>
      </c>
    </row>
    <row r="280" spans="1:2" x14ac:dyDescent="0.25">
      <c r="A280" s="3">
        <v>1999</v>
      </c>
      <c r="B280" s="20">
        <v>72600</v>
      </c>
    </row>
    <row r="281" spans="1:2" x14ac:dyDescent="0.25">
      <c r="A281" s="3">
        <v>2000</v>
      </c>
      <c r="B281" s="20">
        <v>76200</v>
      </c>
    </row>
    <row r="282" spans="1:2" x14ac:dyDescent="0.25">
      <c r="A282" s="3">
        <v>2001</v>
      </c>
      <c r="B282" s="20">
        <v>80400</v>
      </c>
    </row>
    <row r="283" spans="1:2" x14ac:dyDescent="0.25">
      <c r="A283" s="3">
        <v>2002</v>
      </c>
      <c r="B283" s="20">
        <v>84900</v>
      </c>
    </row>
    <row r="284" spans="1:2" x14ac:dyDescent="0.25">
      <c r="A284" s="3">
        <v>2003</v>
      </c>
      <c r="B284" s="20">
        <v>87000</v>
      </c>
    </row>
    <row r="285" spans="1:2" x14ac:dyDescent="0.25">
      <c r="A285" s="3">
        <v>2004</v>
      </c>
      <c r="B285" s="20">
        <v>87900</v>
      </c>
    </row>
    <row r="286" spans="1:2" ht="15.75" thickBot="1" x14ac:dyDescent="0.3">
      <c r="A286" s="5">
        <v>2005</v>
      </c>
      <c r="B286" s="21">
        <v>90000</v>
      </c>
    </row>
    <row r="287" spans="1:2" ht="15.75" thickTop="1" x14ac:dyDescent="0.25">
      <c r="A287" s="3">
        <v>2006</v>
      </c>
      <c r="B287" s="19">
        <v>94200</v>
      </c>
    </row>
    <row r="288" spans="1:2" x14ac:dyDescent="0.25">
      <c r="A288" s="3">
        <v>2007</v>
      </c>
      <c r="B288" s="20">
        <v>97500</v>
      </c>
    </row>
    <row r="289" spans="1:2" x14ac:dyDescent="0.25">
      <c r="A289" s="3">
        <v>2008</v>
      </c>
      <c r="B289" s="20">
        <v>102000</v>
      </c>
    </row>
    <row r="290" spans="1:2" x14ac:dyDescent="0.25">
      <c r="A290" s="3">
        <v>2009</v>
      </c>
      <c r="B290" s="20">
        <v>106800</v>
      </c>
    </row>
    <row r="291" spans="1:2" x14ac:dyDescent="0.25">
      <c r="A291" s="3">
        <v>2010</v>
      </c>
      <c r="B291" s="20">
        <v>106800</v>
      </c>
    </row>
    <row r="292" spans="1:2" x14ac:dyDescent="0.25">
      <c r="A292" s="3">
        <v>2011</v>
      </c>
      <c r="B292" s="20">
        <v>106800</v>
      </c>
    </row>
    <row r="293" spans="1:2" x14ac:dyDescent="0.25">
      <c r="A293" s="3">
        <v>2012</v>
      </c>
      <c r="B293" s="20">
        <v>110100</v>
      </c>
    </row>
    <row r="294" spans="1:2" x14ac:dyDescent="0.25">
      <c r="A294" s="3">
        <v>2013</v>
      </c>
      <c r="B294" s="20">
        <v>113700</v>
      </c>
    </row>
    <row r="295" spans="1:2" x14ac:dyDescent="0.25">
      <c r="A295" s="3">
        <v>2014</v>
      </c>
      <c r="B295" s="20">
        <v>117000</v>
      </c>
    </row>
    <row r="296" spans="1:2" x14ac:dyDescent="0.25">
      <c r="A296" s="3">
        <v>2015</v>
      </c>
      <c r="B296" s="20">
        <v>118500</v>
      </c>
    </row>
    <row r="297" spans="1:2" x14ac:dyDescent="0.25">
      <c r="A297" s="3">
        <v>2016</v>
      </c>
      <c r="B297" s="20">
        <v>118500</v>
      </c>
    </row>
    <row r="298" spans="1:2" x14ac:dyDescent="0.25">
      <c r="A298" s="3">
        <v>2017</v>
      </c>
      <c r="B298" s="20">
        <v>127200</v>
      </c>
    </row>
    <row r="299" spans="1:2" x14ac:dyDescent="0.25">
      <c r="A299" s="3">
        <v>2018</v>
      </c>
      <c r="B299" s="20">
        <v>128400</v>
      </c>
    </row>
    <row r="300" spans="1:2" x14ac:dyDescent="0.25">
      <c r="A300" s="3">
        <v>2019</v>
      </c>
      <c r="B300" s="20">
        <v>132900</v>
      </c>
    </row>
    <row r="301" spans="1:2" x14ac:dyDescent="0.25">
      <c r="A301" s="3">
        <v>2020</v>
      </c>
      <c r="B301" s="20">
        <v>137700</v>
      </c>
    </row>
    <row r="302" spans="1:2" x14ac:dyDescent="0.25">
      <c r="A302" s="3">
        <v>2021</v>
      </c>
      <c r="B302" s="20">
        <v>142800</v>
      </c>
    </row>
    <row r="303" spans="1:2" x14ac:dyDescent="0.25">
      <c r="A303" s="3">
        <v>2022</v>
      </c>
      <c r="B303" s="20">
        <v>147000</v>
      </c>
    </row>
    <row r="304" spans="1:2" x14ac:dyDescent="0.25">
      <c r="A304" s="3">
        <v>2023</v>
      </c>
      <c r="B304" s="20">
        <v>160200</v>
      </c>
    </row>
    <row r="305" spans="1:2" x14ac:dyDescent="0.25">
      <c r="A305" s="3">
        <v>2024</v>
      </c>
      <c r="B305" s="20">
        <v>168600</v>
      </c>
    </row>
    <row r="306" spans="1:2" ht="15.75" thickBot="1" x14ac:dyDescent="0.3">
      <c r="A306" s="5">
        <v>2025</v>
      </c>
      <c r="B306" s="21">
        <v>176100</v>
      </c>
    </row>
    <row r="307" spans="1:2" ht="15.75" thickTop="1" x14ac:dyDescent="0.25"/>
  </sheetData>
  <mergeCells count="2">
    <mergeCell ref="E181:F181"/>
    <mergeCell ref="E182:F18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RIB and Spousal Calculator</vt:lpstr>
      <vt:lpstr>Widow Calculator</vt:lpstr>
      <vt:lpstr>Basic Benefit Calculator</vt:lpstr>
      <vt:lpstr>Data Tables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Joe Elsasser</dc:creator>
  <cp:keywords/>
  <dc:description/>
  <cp:lastModifiedBy>Joe Elsasser</cp:lastModifiedBy>
  <cp:revision/>
  <cp:lastPrinted>2025-01-22T20:26:48Z</cp:lastPrinted>
  <dcterms:created xsi:type="dcterms:W3CDTF">2024-12-23T19:23:16Z</dcterms:created>
  <dcterms:modified xsi:type="dcterms:W3CDTF">2025-01-23T15:59:57Z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b65cdaa-20de-4fa7-9e65-1f255f5e8f0a_Enabled">
    <vt:lpwstr>true</vt:lpwstr>
  </property>
  <property fmtid="{D5CDD505-2E9C-101B-9397-08002B2CF9AE}" pid="3" name="MSIP_Label_8b65cdaa-20de-4fa7-9e65-1f255f5e8f0a_SetDate">
    <vt:lpwstr>2024-12-26T20:50:34Z</vt:lpwstr>
  </property>
  <property fmtid="{D5CDD505-2E9C-101B-9397-08002B2CF9AE}" pid="4" name="MSIP_Label_8b65cdaa-20de-4fa7-9e65-1f255f5e8f0a_Method">
    <vt:lpwstr>Standard</vt:lpwstr>
  </property>
  <property fmtid="{D5CDD505-2E9C-101B-9397-08002B2CF9AE}" pid="5" name="MSIP_Label_8b65cdaa-20de-4fa7-9e65-1f255f5e8f0a_Name">
    <vt:lpwstr>Internal</vt:lpwstr>
  </property>
  <property fmtid="{D5CDD505-2E9C-101B-9397-08002B2CF9AE}" pid="6" name="MSIP_Label_8b65cdaa-20de-4fa7-9e65-1f255f5e8f0a_SiteId">
    <vt:lpwstr>33955cce-20c5-4da5-afbe-1b8042b42361</vt:lpwstr>
  </property>
  <property fmtid="{D5CDD505-2E9C-101B-9397-08002B2CF9AE}" pid="7" name="MSIP_Label_8b65cdaa-20de-4fa7-9e65-1f255f5e8f0a_ActionId">
    <vt:lpwstr>d411561c-459e-48a1-a950-8565853cee3b</vt:lpwstr>
  </property>
  <property fmtid="{D5CDD505-2E9C-101B-9397-08002B2CF9AE}" pid="8" name="MSIP_Label_8b65cdaa-20de-4fa7-9e65-1f255f5e8f0a_ContentBits">
    <vt:lpwstr>0</vt:lpwstr>
  </property>
</Properties>
</file>